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cl\SvilPromStat\STATISTICHE\2020\"/>
    </mc:Choice>
  </mc:AlternateContent>
  <bookViews>
    <workbookView xWindow="480" yWindow="675" windowWidth="18675" windowHeight="1125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Foglio1!$A$1:$K$56</definedName>
  </definedNames>
  <calcPr calcId="162913" iterateDelta="1E-4"/>
</workbook>
</file>

<file path=xl/calcChain.xml><?xml version="1.0" encoding="utf-8"?>
<calcChain xmlns="http://schemas.openxmlformats.org/spreadsheetml/2006/main">
  <c r="I18" i="1" l="1"/>
  <c r="H18" i="1"/>
  <c r="I25" i="1" l="1"/>
  <c r="H25" i="1"/>
  <c r="I24" i="1"/>
  <c r="H24" i="1"/>
  <c r="I26" i="1"/>
  <c r="H26" i="1" l="1"/>
  <c r="I22" i="1" l="1"/>
  <c r="H22" i="1"/>
  <c r="G22" i="1"/>
  <c r="F22" i="1"/>
  <c r="E22" i="1"/>
  <c r="J22" i="1" l="1"/>
  <c r="I15" i="1"/>
  <c r="H16" i="1"/>
  <c r="I16" i="1"/>
  <c r="J16" i="1" s="1"/>
  <c r="H15" i="1"/>
  <c r="I9" i="1" l="1"/>
  <c r="H9" i="1"/>
  <c r="G43" i="1" l="1"/>
  <c r="I42" i="1"/>
  <c r="H42" i="1"/>
  <c r="I37" i="1"/>
  <c r="H37" i="1"/>
  <c r="J37" i="1" s="1"/>
  <c r="J56" i="1"/>
  <c r="J55" i="1"/>
  <c r="J54" i="1"/>
  <c r="J50" i="1"/>
  <c r="J52" i="1" s="1"/>
  <c r="J48" i="1"/>
  <c r="J47" i="1"/>
  <c r="J46" i="1"/>
  <c r="J45" i="1"/>
  <c r="J42" i="1"/>
  <c r="J41" i="1"/>
  <c r="J40" i="1"/>
  <c r="J39" i="1"/>
  <c r="J36" i="1"/>
  <c r="J35" i="1"/>
  <c r="J34" i="1"/>
  <c r="J33" i="1"/>
  <c r="J32" i="1"/>
  <c r="J30" i="1"/>
  <c r="J28" i="1"/>
  <c r="J25" i="1"/>
  <c r="J24" i="1"/>
  <c r="J20" i="1"/>
  <c r="J18" i="1"/>
  <c r="J15" i="1"/>
  <c r="J14" i="1"/>
  <c r="J13" i="1"/>
  <c r="J12" i="1"/>
  <c r="J11" i="1"/>
  <c r="J8" i="1"/>
  <c r="J7" i="1"/>
  <c r="K44" i="1"/>
  <c r="K51" i="1"/>
  <c r="J26" i="1" l="1"/>
  <c r="J43" i="1"/>
  <c r="J9" i="1"/>
  <c r="J49" i="1"/>
  <c r="F52" i="1"/>
  <c r="E52" i="1"/>
  <c r="C52" i="1"/>
  <c r="B52" i="1"/>
  <c r="F12" i="1"/>
  <c r="E12" i="1"/>
  <c r="J53" i="1" l="1"/>
  <c r="F14" i="1"/>
  <c r="C18" i="1" l="1"/>
  <c r="B18" i="1"/>
  <c r="F18" i="1" l="1"/>
  <c r="E18" i="1"/>
  <c r="F16" i="1" l="1"/>
  <c r="F25" i="1"/>
  <c r="E25" i="1"/>
  <c r="F24" i="1"/>
  <c r="G24" i="1" s="1"/>
  <c r="K24" i="1" s="1"/>
  <c r="E24" i="1"/>
  <c r="G25" i="1" l="1"/>
  <c r="K25" i="1" s="1"/>
  <c r="G8" i="1"/>
  <c r="K8" i="1" s="1"/>
  <c r="G7" i="1"/>
  <c r="K7" i="1" s="1"/>
  <c r="E14" i="1" l="1"/>
  <c r="G12" i="1"/>
  <c r="K12" i="1" s="1"/>
  <c r="G13" i="1"/>
  <c r="K13" i="1" s="1"/>
  <c r="G14" i="1"/>
  <c r="K14" i="1" s="1"/>
  <c r="G15" i="1"/>
  <c r="K15" i="1" s="1"/>
  <c r="G11" i="1"/>
  <c r="K11" i="1" s="1"/>
  <c r="G55" i="1"/>
  <c r="K55" i="1" s="1"/>
  <c r="G56" i="1"/>
  <c r="K56" i="1" s="1"/>
  <c r="G54" i="1"/>
  <c r="K54" i="1" s="1"/>
  <c r="G50" i="1"/>
  <c r="K50" i="1" s="1"/>
  <c r="E49" i="1"/>
  <c r="F49" i="1"/>
  <c r="G46" i="1"/>
  <c r="K46" i="1" s="1"/>
  <c r="G47" i="1"/>
  <c r="K47" i="1" s="1"/>
  <c r="G48" i="1"/>
  <c r="K48" i="1" s="1"/>
  <c r="G45" i="1"/>
  <c r="K45" i="1" s="1"/>
  <c r="E42" i="1"/>
  <c r="F42" i="1"/>
  <c r="G40" i="1"/>
  <c r="K40" i="1" s="1"/>
  <c r="G41" i="1"/>
  <c r="K41" i="1" s="1"/>
  <c r="G39" i="1"/>
  <c r="K39" i="1" s="1"/>
  <c r="E37" i="1"/>
  <c r="F37" i="1"/>
  <c r="G33" i="1"/>
  <c r="K33" i="1" s="1"/>
  <c r="G34" i="1"/>
  <c r="K34" i="1" s="1"/>
  <c r="G35" i="1"/>
  <c r="K35" i="1" s="1"/>
  <c r="G36" i="1"/>
  <c r="K36" i="1" s="1"/>
  <c r="G32" i="1"/>
  <c r="K32" i="1" s="1"/>
  <c r="G30" i="1"/>
  <c r="K30" i="1" s="1"/>
  <c r="G28" i="1"/>
  <c r="K28" i="1" s="1"/>
  <c r="E26" i="1"/>
  <c r="F26" i="1"/>
  <c r="G26" i="1"/>
  <c r="K26" i="1" s="1"/>
  <c r="G20" i="1"/>
  <c r="K20" i="1" s="1"/>
  <c r="G18" i="1"/>
  <c r="K18" i="1" s="1"/>
  <c r="E16" i="1"/>
  <c r="E9" i="1"/>
  <c r="F9" i="1"/>
  <c r="G9" i="1"/>
  <c r="K9" i="1" s="1"/>
  <c r="G52" i="1" l="1"/>
  <c r="K52" i="1" s="1"/>
  <c r="K22" i="1"/>
  <c r="G49" i="1"/>
  <c r="K49" i="1" s="1"/>
  <c r="F43" i="1"/>
  <c r="E43" i="1"/>
  <c r="G42" i="1"/>
  <c r="K42" i="1" s="1"/>
  <c r="G37" i="1"/>
  <c r="K37" i="1" s="1"/>
  <c r="G16" i="1"/>
  <c r="K16" i="1" s="1"/>
  <c r="C9" i="1"/>
  <c r="B9" i="1"/>
  <c r="C15" i="1"/>
  <c r="B15" i="1"/>
  <c r="C14" i="1"/>
  <c r="B14" i="1"/>
  <c r="D14" i="1" s="1"/>
  <c r="C49" i="1"/>
  <c r="B49" i="1"/>
  <c r="C42" i="1"/>
  <c r="B42" i="1"/>
  <c r="C37" i="1"/>
  <c r="B37" i="1"/>
  <c r="C25" i="1"/>
  <c r="B25" i="1"/>
  <c r="D56" i="1"/>
  <c r="D55" i="1"/>
  <c r="D54" i="1"/>
  <c r="D50" i="1"/>
  <c r="D52" i="1" s="1"/>
  <c r="D48" i="1"/>
  <c r="D47" i="1"/>
  <c r="D46" i="1"/>
  <c r="D45" i="1"/>
  <c r="D41" i="1"/>
  <c r="D40" i="1"/>
  <c r="D39" i="1"/>
  <c r="D36" i="1"/>
  <c r="D35" i="1"/>
  <c r="D34" i="1"/>
  <c r="D33" i="1"/>
  <c r="D32" i="1"/>
  <c r="D30" i="1"/>
  <c r="D28" i="1"/>
  <c r="D20" i="1"/>
  <c r="D18" i="1"/>
  <c r="D13" i="1"/>
  <c r="D12" i="1"/>
  <c r="D11" i="1"/>
  <c r="D8" i="1"/>
  <c r="D7" i="1"/>
  <c r="C24" i="1"/>
  <c r="B24" i="1"/>
  <c r="G53" i="1" l="1"/>
  <c r="K53" i="1" s="1"/>
  <c r="C26" i="1"/>
  <c r="K43" i="1"/>
  <c r="D49" i="1"/>
  <c r="B26" i="1"/>
  <c r="B16" i="1"/>
  <c r="B22" i="1" s="1"/>
  <c r="C43" i="1"/>
  <c r="C16" i="1"/>
  <c r="D15" i="1"/>
  <c r="D24" i="1"/>
  <c r="B43" i="1"/>
  <c r="D9" i="1"/>
  <c r="D42" i="1"/>
  <c r="D25" i="1"/>
  <c r="D37" i="1"/>
  <c r="D53" i="1" l="1"/>
  <c r="D16" i="1"/>
  <c r="D26" i="1"/>
  <c r="C22" i="1"/>
  <c r="D22" i="1" s="1"/>
  <c r="D43" i="1"/>
</calcChain>
</file>

<file path=xl/sharedStrings.xml><?xml version="1.0" encoding="utf-8"?>
<sst xmlns="http://schemas.openxmlformats.org/spreadsheetml/2006/main" count="56" uniqueCount="52">
  <si>
    <t>Imbarchi</t>
  </si>
  <si>
    <t>Sbarchi</t>
  </si>
  <si>
    <t>%</t>
  </si>
  <si>
    <t xml:space="preserve"> Merci ( in tn )</t>
  </si>
  <si>
    <t>LIQUIDE</t>
  </si>
  <si>
    <t>Petrolio greggio</t>
  </si>
  <si>
    <t>Derivati del petrolio</t>
  </si>
  <si>
    <t>TOTALE MERCI LIQUIDE (petrolio e derivati)</t>
  </si>
  <si>
    <t>SOLIDE</t>
  </si>
  <si>
    <t>Carbone</t>
  </si>
  <si>
    <t>Minerali grezzi e manufatti (inerti)</t>
  </si>
  <si>
    <t>Prodotti metallurgici, minerali di ferro, minerali e metalli non ferrosi</t>
  </si>
  <si>
    <t>Articoli diversi</t>
  </si>
  <si>
    <t>TOTALE MERCI SOLIDE</t>
  </si>
  <si>
    <t>MERCI NEI CONTENITORI</t>
  </si>
  <si>
    <t>TOTALE MERCI</t>
  </si>
  <si>
    <t>NUMERO CONTENITORI</t>
  </si>
  <si>
    <t>Vuoti</t>
  </si>
  <si>
    <t>Pieni</t>
  </si>
  <si>
    <t>TOT. CONTENITORI NUMERO</t>
  </si>
  <si>
    <t>CONTENITORI: TEU</t>
  </si>
  <si>
    <t>VEICOLI (AUTO)</t>
  </si>
  <si>
    <t>TIR GRECIA</t>
  </si>
  <si>
    <t>TIR CROAZIA</t>
  </si>
  <si>
    <t>TIR ALBANIA</t>
  </si>
  <si>
    <t>TIR ITALIA</t>
  </si>
  <si>
    <t>TOTALE TIR</t>
  </si>
  <si>
    <t>TRAILER GRECIA</t>
  </si>
  <si>
    <t>TRAILER ALBANIA</t>
  </si>
  <si>
    <t>TRAILER ITALIA</t>
  </si>
  <si>
    <t>TOTALE TRAILER</t>
  </si>
  <si>
    <t>TOTALE TIR + TRAILER</t>
  </si>
  <si>
    <t>Passeggeri GRECIA</t>
  </si>
  <si>
    <t>Passeggeri CROAZIA</t>
  </si>
  <si>
    <t>Passeggeri ALBANIA</t>
  </si>
  <si>
    <t>Passeggeri ITALIA</t>
  </si>
  <si>
    <t>TOT PASSEGGERI</t>
  </si>
  <si>
    <t>CROCIERISTI</t>
  </si>
  <si>
    <t>TOTALE PASSEGGERI</t>
  </si>
  <si>
    <t>N° NAVI</t>
  </si>
  <si>
    <t>TSN</t>
  </si>
  <si>
    <t>TSL</t>
  </si>
  <si>
    <t>TIR TURCHIA</t>
  </si>
  <si>
    <t>TOT 2018</t>
  </si>
  <si>
    <t>TOT 2019</t>
  </si>
  <si>
    <t>MERCI ESPO NEI TIR E TRAILER</t>
  </si>
  <si>
    <t>Cereali e derrate alimentari</t>
  </si>
  <si>
    <r>
      <t xml:space="preserve">CROCIERISTI </t>
    </r>
    <r>
      <rPr>
        <i/>
        <sz val="10"/>
        <rFont val="Verdana"/>
        <family val="2"/>
      </rPr>
      <t>(transito)</t>
    </r>
  </si>
  <si>
    <t>TOT CROCIERISTI</t>
  </si>
  <si>
    <t>TOT 2020</t>
  </si>
  <si>
    <t xml:space="preserve">     PORTO DI ANCONA:   CONFRONTO IMBARCHI E SBARCHI 2018 - 2019 - 2020</t>
  </si>
  <si>
    <t>20 vs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</si>
</sst>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10"/>
      <name val="Verdana"/>
      <family val="2"/>
    </font>
    <font>
      <b/>
      <sz val="8"/>
      <color indexed="10"/>
      <name val="Verdana"/>
      <family val="2"/>
    </font>
    <font>
      <sz val="8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0"/>
      <color indexed="10"/>
      <name val="Verdana"/>
      <family val="2"/>
    </font>
    <font>
      <b/>
      <sz val="10"/>
      <color indexed="39"/>
      <name val="Verdana"/>
      <family val="2"/>
    </font>
    <font>
      <b/>
      <sz val="10"/>
      <color indexed="12"/>
      <name val="Verdana"/>
      <family val="2"/>
    </font>
    <font>
      <sz val="10"/>
      <color indexed="12"/>
      <name val="Verdana"/>
      <family val="2"/>
    </font>
    <font>
      <b/>
      <sz val="11"/>
      <color theme="1"/>
      <name val="Calibri"/>
      <family val="2"/>
      <scheme val="minor"/>
    </font>
    <font>
      <i/>
      <sz val="1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lightGray">
        <fgColor indexed="43"/>
        <bgColor indexed="26"/>
      </patternFill>
    </fill>
    <fill>
      <patternFill patternType="solid">
        <fgColor indexed="13"/>
        <bgColor indexed="64"/>
      </patternFill>
    </fill>
    <fill>
      <patternFill patternType="lightGray">
        <fgColor indexed="43"/>
        <bgColor indexed="13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5">
    <xf numFmtId="0" fontId="0" fillId="0" borderId="0" xfId="0"/>
    <xf numFmtId="0" fontId="2" fillId="2" borderId="0" xfId="0" applyFont="1" applyFill="1" applyBorder="1" applyAlignment="1">
      <alignment horizontal="left" vertical="center"/>
    </xf>
    <xf numFmtId="164" fontId="2" fillId="2" borderId="0" xfId="0" applyNumberFormat="1" applyFont="1" applyFill="1" applyBorder="1" applyAlignment="1">
      <alignment horizontal="left" vertical="center"/>
    </xf>
    <xf numFmtId="0" fontId="3" fillId="2" borderId="0" xfId="0" applyFont="1" applyFill="1" applyBorder="1" applyAlignment="1"/>
    <xf numFmtId="0" fontId="4" fillId="2" borderId="0" xfId="0" applyFont="1" applyFill="1" applyBorder="1"/>
    <xf numFmtId="164" fontId="4" fillId="2" borderId="0" xfId="0" applyNumberFormat="1" applyFont="1" applyFill="1" applyBorder="1"/>
    <xf numFmtId="0" fontId="5" fillId="2" borderId="1" xfId="0" applyFont="1" applyFill="1" applyBorder="1"/>
    <xf numFmtId="0" fontId="7" fillId="0" borderId="6" xfId="0" applyFont="1" applyBorder="1"/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2" borderId="5" xfId="0" applyFont="1" applyFill="1" applyBorder="1"/>
    <xf numFmtId="0" fontId="7" fillId="2" borderId="3" xfId="0" applyFont="1" applyFill="1" applyBorder="1"/>
    <xf numFmtId="0" fontId="7" fillId="2" borderId="11" xfId="0" applyFont="1" applyFill="1" applyBorder="1"/>
    <xf numFmtId="0" fontId="7" fillId="2" borderId="12" xfId="0" applyFont="1" applyFill="1" applyBorder="1"/>
    <xf numFmtId="0" fontId="7" fillId="2" borderId="13" xfId="0" applyFont="1" applyFill="1" applyBorder="1"/>
    <xf numFmtId="0" fontId="7" fillId="2" borderId="14" xfId="0" applyFont="1" applyFill="1" applyBorder="1" applyAlignment="1">
      <alignment horizontal="center"/>
    </xf>
    <xf numFmtId="0" fontId="7" fillId="2" borderId="15" xfId="0" applyFont="1" applyFill="1" applyBorder="1"/>
    <xf numFmtId="0" fontId="7" fillId="2" borderId="16" xfId="0" applyFont="1" applyFill="1" applyBorder="1"/>
    <xf numFmtId="3" fontId="7" fillId="2" borderId="14" xfId="0" applyNumberFormat="1" applyFont="1" applyFill="1" applyBorder="1" applyAlignment="1">
      <alignment horizontal="left"/>
    </xf>
    <xf numFmtId="3" fontId="7" fillId="0" borderId="17" xfId="0" applyNumberFormat="1" applyFont="1" applyFill="1" applyBorder="1"/>
    <xf numFmtId="3" fontId="7" fillId="0" borderId="16" xfId="0" applyNumberFormat="1" applyFont="1" applyFill="1" applyBorder="1"/>
    <xf numFmtId="3" fontId="7" fillId="0" borderId="15" xfId="0" applyNumberFormat="1" applyFont="1" applyFill="1" applyBorder="1"/>
    <xf numFmtId="3" fontId="8" fillId="3" borderId="14" xfId="0" applyNumberFormat="1" applyFont="1" applyFill="1" applyBorder="1" applyAlignment="1">
      <alignment horizontal="left" vertical="center"/>
    </xf>
    <xf numFmtId="3" fontId="7" fillId="3" borderId="17" xfId="0" applyNumberFormat="1" applyFont="1" applyFill="1" applyBorder="1" applyAlignment="1">
      <alignment vertical="center"/>
    </xf>
    <xf numFmtId="3" fontId="7" fillId="3" borderId="16" xfId="0" applyNumberFormat="1" applyFont="1" applyFill="1" applyBorder="1" applyAlignment="1">
      <alignment vertical="center"/>
    </xf>
    <xf numFmtId="3" fontId="7" fillId="2" borderId="14" xfId="0" applyNumberFormat="1" applyFont="1" applyFill="1" applyBorder="1" applyAlignment="1">
      <alignment horizontal="center"/>
    </xf>
    <xf numFmtId="3" fontId="7" fillId="0" borderId="14" xfId="0" applyNumberFormat="1" applyFont="1" applyFill="1" applyBorder="1" applyAlignment="1">
      <alignment horizontal="left"/>
    </xf>
    <xf numFmtId="3" fontId="8" fillId="3" borderId="15" xfId="0" applyNumberFormat="1" applyFont="1" applyFill="1" applyBorder="1" applyAlignment="1">
      <alignment vertical="center"/>
    </xf>
    <xf numFmtId="3" fontId="9" fillId="2" borderId="14" xfId="0" applyNumberFormat="1" applyFont="1" applyFill="1" applyBorder="1" applyAlignment="1">
      <alignment horizontal="left"/>
    </xf>
    <xf numFmtId="3" fontId="7" fillId="2" borderId="16" xfId="0" applyNumberFormat="1" applyFont="1" applyFill="1" applyBorder="1"/>
    <xf numFmtId="3" fontId="7" fillId="2" borderId="15" xfId="0" applyNumberFormat="1" applyFont="1" applyFill="1" applyBorder="1"/>
    <xf numFmtId="0" fontId="7" fillId="0" borderId="14" xfId="0" applyFont="1" applyBorder="1" applyAlignment="1">
      <alignment horizontal="left"/>
    </xf>
    <xf numFmtId="3" fontId="7" fillId="2" borderId="22" xfId="0" applyNumberFormat="1" applyFont="1" applyFill="1" applyBorder="1" applyAlignment="1">
      <alignment horizontal="center"/>
    </xf>
    <xf numFmtId="3" fontId="7" fillId="2" borderId="12" xfId="0" applyNumberFormat="1" applyFont="1" applyFill="1" applyBorder="1"/>
    <xf numFmtId="3" fontId="7" fillId="2" borderId="11" xfId="0" applyNumberFormat="1" applyFont="1" applyFill="1" applyBorder="1"/>
    <xf numFmtId="3" fontId="8" fillId="0" borderId="14" xfId="0" applyNumberFormat="1" applyFont="1" applyFill="1" applyBorder="1" applyAlignment="1">
      <alignment horizontal="left" vertical="center"/>
    </xf>
    <xf numFmtId="3" fontId="8" fillId="0" borderId="14" xfId="0" applyNumberFormat="1" applyFont="1" applyFill="1" applyBorder="1" applyAlignment="1">
      <alignment horizontal="left"/>
    </xf>
    <xf numFmtId="3" fontId="6" fillId="4" borderId="14" xfId="0" applyNumberFormat="1" applyFont="1" applyFill="1" applyBorder="1" applyAlignment="1">
      <alignment horizontal="left" vertical="center"/>
    </xf>
    <xf numFmtId="3" fontId="10" fillId="2" borderId="23" xfId="0" applyNumberFormat="1" applyFont="1" applyFill="1" applyBorder="1" applyAlignment="1">
      <alignment horizontal="left"/>
    </xf>
    <xf numFmtId="3" fontId="11" fillId="0" borderId="11" xfId="0" applyNumberFormat="1" applyFont="1" applyBorder="1"/>
    <xf numFmtId="3" fontId="11" fillId="0" borderId="12" xfId="0" applyNumberFormat="1" applyFont="1" applyBorder="1"/>
    <xf numFmtId="0" fontId="7" fillId="0" borderId="14" xfId="0" applyFont="1" applyFill="1" applyBorder="1" applyAlignment="1">
      <alignment horizontal="left"/>
    </xf>
    <xf numFmtId="3" fontId="6" fillId="0" borderId="14" xfId="0" applyNumberFormat="1" applyFont="1" applyFill="1" applyBorder="1" applyAlignment="1">
      <alignment horizontal="left" vertical="center"/>
    </xf>
    <xf numFmtId="0" fontId="7" fillId="0" borderId="23" xfId="0" applyFont="1" applyFill="1" applyBorder="1"/>
    <xf numFmtId="3" fontId="7" fillId="0" borderId="14" xfId="0" applyNumberFormat="1" applyFont="1" applyFill="1" applyBorder="1" applyAlignment="1">
      <alignment horizontal="left" vertical="center"/>
    </xf>
    <xf numFmtId="3" fontId="5" fillId="5" borderId="25" xfId="0" applyNumberFormat="1" applyFont="1" applyFill="1" applyBorder="1"/>
    <xf numFmtId="0" fontId="7" fillId="2" borderId="14" xfId="0" applyFont="1" applyFill="1" applyBorder="1" applyAlignment="1">
      <alignment horizontal="left"/>
    </xf>
    <xf numFmtId="0" fontId="8" fillId="6" borderId="14" xfId="0" applyFont="1" applyFill="1" applyBorder="1" applyAlignment="1">
      <alignment horizontal="left" vertical="center"/>
    </xf>
    <xf numFmtId="3" fontId="7" fillId="6" borderId="16" xfId="0" applyNumberFormat="1" applyFont="1" applyFill="1" applyBorder="1" applyAlignment="1">
      <alignment vertical="center"/>
    </xf>
    <xf numFmtId="3" fontId="6" fillId="4" borderId="27" xfId="0" applyNumberFormat="1" applyFont="1" applyFill="1" applyBorder="1" applyAlignment="1">
      <alignment horizontal="left" vertical="center"/>
    </xf>
    <xf numFmtId="3" fontId="6" fillId="4" borderId="25" xfId="0" applyNumberFormat="1" applyFont="1" applyFill="1" applyBorder="1" applyAlignment="1">
      <alignment vertical="center"/>
    </xf>
    <xf numFmtId="3" fontId="7" fillId="0" borderId="12" xfId="0" applyNumberFormat="1" applyFont="1" applyFill="1" applyBorder="1"/>
    <xf numFmtId="3" fontId="7" fillId="0" borderId="8" xfId="0" applyNumberFormat="1" applyFont="1" applyFill="1" applyBorder="1"/>
    <xf numFmtId="164" fontId="0" fillId="0" borderId="0" xfId="0" applyNumberFormat="1"/>
    <xf numFmtId="0" fontId="7" fillId="0" borderId="10" xfId="0" applyFont="1" applyFill="1" applyBorder="1" applyAlignment="1">
      <alignment horizontal="left"/>
    </xf>
    <xf numFmtId="3" fontId="5" fillId="4" borderId="16" xfId="0" applyNumberFormat="1" applyFont="1" applyFill="1" applyBorder="1"/>
    <xf numFmtId="3" fontId="11" fillId="0" borderId="0" xfId="0" applyNumberFormat="1" applyFont="1" applyFill="1" applyBorder="1" applyAlignment="1">
      <alignment horizontal="right"/>
    </xf>
    <xf numFmtId="3" fontId="6" fillId="4" borderId="34" xfId="0" applyNumberFormat="1" applyFont="1" applyFill="1" applyBorder="1" applyAlignment="1">
      <alignment vertical="center"/>
    </xf>
    <xf numFmtId="3" fontId="11" fillId="0" borderId="20" xfId="0" applyNumberFormat="1" applyFont="1" applyFill="1" applyBorder="1" applyAlignment="1">
      <alignment horizontal="right"/>
    </xf>
    <xf numFmtId="3" fontId="11" fillId="2" borderId="22" xfId="0" applyNumberFormat="1" applyFont="1" applyFill="1" applyBorder="1" applyAlignment="1">
      <alignment horizontal="left"/>
    </xf>
    <xf numFmtId="3" fontId="8" fillId="3" borderId="27" xfId="0" applyNumberFormat="1" applyFont="1" applyFill="1" applyBorder="1" applyAlignment="1">
      <alignment horizontal="left" vertical="center"/>
    </xf>
    <xf numFmtId="3" fontId="7" fillId="3" borderId="25" xfId="0" applyNumberFormat="1" applyFont="1" applyFill="1" applyBorder="1" applyAlignment="1">
      <alignment vertical="center"/>
    </xf>
    <xf numFmtId="3" fontId="8" fillId="2" borderId="24" xfId="0" applyNumberFormat="1" applyFont="1" applyFill="1" applyBorder="1" applyAlignment="1">
      <alignment horizontal="left"/>
    </xf>
    <xf numFmtId="3" fontId="8" fillId="2" borderId="29" xfId="0" applyNumberFormat="1" applyFont="1" applyFill="1" applyBorder="1"/>
    <xf numFmtId="3" fontId="8" fillId="2" borderId="28" xfId="0" applyNumberFormat="1" applyFont="1" applyFill="1" applyBorder="1"/>
    <xf numFmtId="3" fontId="5" fillId="4" borderId="25" xfId="0" applyNumberFormat="1" applyFont="1" applyFill="1" applyBorder="1" applyAlignment="1">
      <alignment horizontal="right" vertical="center"/>
    </xf>
    <xf numFmtId="3" fontId="7" fillId="0" borderId="35" xfId="0" applyNumberFormat="1" applyFont="1" applyFill="1" applyBorder="1"/>
    <xf numFmtId="3" fontId="7" fillId="0" borderId="11" xfId="0" applyNumberFormat="1" applyFont="1" applyFill="1" applyBorder="1"/>
    <xf numFmtId="3" fontId="7" fillId="0" borderId="31" xfId="0" applyNumberFormat="1" applyFont="1" applyFill="1" applyBorder="1"/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9" fontId="8" fillId="3" borderId="26" xfId="1" applyFont="1" applyFill="1" applyBorder="1" applyAlignment="1">
      <alignment horizontal="right" vertical="center"/>
    </xf>
    <xf numFmtId="164" fontId="0" fillId="0" borderId="0" xfId="0" applyNumberFormat="1" applyAlignment="1">
      <alignment horizontal="right"/>
    </xf>
    <xf numFmtId="3" fontId="6" fillId="0" borderId="24" xfId="0" applyNumberFormat="1" applyFont="1" applyFill="1" applyBorder="1" applyAlignment="1">
      <alignment horizontal="left" vertical="center"/>
    </xf>
    <xf numFmtId="3" fontId="7" fillId="0" borderId="29" xfId="0" applyNumberFormat="1" applyFont="1" applyFill="1" applyBorder="1"/>
    <xf numFmtId="3" fontId="6" fillId="0" borderId="23" xfId="0" applyNumberFormat="1" applyFont="1" applyFill="1" applyBorder="1" applyAlignment="1">
      <alignment horizontal="left"/>
    </xf>
    <xf numFmtId="3" fontId="6" fillId="0" borderId="12" xfId="0" applyNumberFormat="1" applyFont="1" applyFill="1" applyBorder="1"/>
    <xf numFmtId="3" fontId="6" fillId="5" borderId="27" xfId="0" applyNumberFormat="1" applyFont="1" applyFill="1" applyBorder="1" applyAlignment="1">
      <alignment horizontal="left"/>
    </xf>
    <xf numFmtId="0" fontId="7" fillId="0" borderId="22" xfId="0" applyFont="1" applyFill="1" applyBorder="1" applyAlignment="1">
      <alignment horizontal="left"/>
    </xf>
    <xf numFmtId="3" fontId="12" fillId="0" borderId="29" xfId="0" applyNumberFormat="1" applyFont="1" applyFill="1" applyBorder="1" applyAlignment="1">
      <alignment horizontal="right"/>
    </xf>
    <xf numFmtId="0" fontId="7" fillId="2" borderId="35" xfId="0" applyFont="1" applyFill="1" applyBorder="1"/>
    <xf numFmtId="0" fontId="7" fillId="2" borderId="36" xfId="0" applyFont="1" applyFill="1" applyBorder="1"/>
    <xf numFmtId="0" fontId="7" fillId="2" borderId="33" xfId="0" applyFont="1" applyFill="1" applyBorder="1"/>
    <xf numFmtId="0" fontId="7" fillId="2" borderId="19" xfId="0" applyFont="1" applyFill="1" applyBorder="1"/>
    <xf numFmtId="3" fontId="7" fillId="0" borderId="33" xfId="0" applyNumberFormat="1" applyFont="1" applyFill="1" applyBorder="1"/>
    <xf numFmtId="3" fontId="7" fillId="0" borderId="19" xfId="0" applyNumberFormat="1" applyFont="1" applyFill="1" applyBorder="1"/>
    <xf numFmtId="3" fontId="8" fillId="3" borderId="19" xfId="0" applyNumberFormat="1" applyFont="1" applyFill="1" applyBorder="1" applyAlignment="1">
      <alignment vertical="center"/>
    </xf>
    <xf numFmtId="3" fontId="7" fillId="3" borderId="33" xfId="0" applyNumberFormat="1" applyFont="1" applyFill="1" applyBorder="1" applyAlignment="1">
      <alignment vertical="center"/>
    </xf>
    <xf numFmtId="3" fontId="7" fillId="2" borderId="33" xfId="0" applyNumberFormat="1" applyFont="1" applyFill="1" applyBorder="1"/>
    <xf numFmtId="3" fontId="7" fillId="2" borderId="19" xfId="0" applyNumberFormat="1" applyFont="1" applyFill="1" applyBorder="1"/>
    <xf numFmtId="3" fontId="8" fillId="2" borderId="37" xfId="0" applyNumberFormat="1" applyFont="1" applyFill="1" applyBorder="1"/>
    <xf numFmtId="3" fontId="8" fillId="2" borderId="38" xfId="0" applyNumberFormat="1" applyFont="1" applyFill="1" applyBorder="1"/>
    <xf numFmtId="3" fontId="6" fillId="4" borderId="40" xfId="0" applyNumberFormat="1" applyFont="1" applyFill="1" applyBorder="1" applyAlignment="1">
      <alignment horizontal="right" vertical="center"/>
    </xf>
    <xf numFmtId="3" fontId="7" fillId="2" borderId="35" xfId="0" applyNumberFormat="1" applyFont="1" applyFill="1" applyBorder="1"/>
    <xf numFmtId="3" fontId="7" fillId="2" borderId="36" xfId="0" applyNumberFormat="1" applyFont="1" applyFill="1" applyBorder="1"/>
    <xf numFmtId="3" fontId="8" fillId="0" borderId="19" xfId="0" applyNumberFormat="1" applyFont="1" applyFill="1" applyBorder="1"/>
    <xf numFmtId="3" fontId="5" fillId="4" borderId="33" xfId="0" applyNumberFormat="1" applyFont="1" applyFill="1" applyBorder="1"/>
    <xf numFmtId="3" fontId="6" fillId="4" borderId="19" xfId="0" applyNumberFormat="1" applyFont="1" applyFill="1" applyBorder="1"/>
    <xf numFmtId="3" fontId="12" fillId="0" borderId="37" xfId="0" applyNumberFormat="1" applyFont="1" applyFill="1" applyBorder="1" applyAlignment="1">
      <alignment horizontal="right"/>
    </xf>
    <xf numFmtId="3" fontId="11" fillId="0" borderId="38" xfId="0" applyNumberFormat="1" applyFont="1" applyFill="1" applyBorder="1" applyAlignment="1">
      <alignment horizontal="right"/>
    </xf>
    <xf numFmtId="3" fontId="7" fillId="3" borderId="39" xfId="0" applyNumberFormat="1" applyFont="1" applyFill="1" applyBorder="1" applyAlignment="1">
      <alignment vertical="center"/>
    </xf>
    <xf numFmtId="3" fontId="8" fillId="3" borderId="40" xfId="0" applyNumberFormat="1" applyFont="1" applyFill="1" applyBorder="1" applyAlignment="1">
      <alignment vertical="center"/>
    </xf>
    <xf numFmtId="3" fontId="11" fillId="0" borderId="35" xfId="0" applyNumberFormat="1" applyFont="1" applyBorder="1"/>
    <xf numFmtId="3" fontId="11" fillId="0" borderId="36" xfId="0" applyNumberFormat="1" applyFont="1" applyBorder="1"/>
    <xf numFmtId="3" fontId="7" fillId="0" borderId="37" xfId="0" applyNumberFormat="1" applyFont="1" applyFill="1" applyBorder="1"/>
    <xf numFmtId="3" fontId="8" fillId="0" borderId="38" xfId="0" applyNumberFormat="1" applyFont="1" applyFill="1" applyBorder="1"/>
    <xf numFmtId="3" fontId="5" fillId="5" borderId="39" xfId="0" applyNumberFormat="1" applyFont="1" applyFill="1" applyBorder="1"/>
    <xf numFmtId="3" fontId="6" fillId="5" borderId="40" xfId="0" applyNumberFormat="1" applyFont="1" applyFill="1" applyBorder="1"/>
    <xf numFmtId="3" fontId="6" fillId="0" borderId="35" xfId="0" applyNumberFormat="1" applyFont="1" applyFill="1" applyBorder="1"/>
    <xf numFmtId="3" fontId="6" fillId="0" borderId="36" xfId="0" applyNumberFormat="1" applyFont="1" applyFill="1" applyBorder="1"/>
    <xf numFmtId="3" fontId="7" fillId="6" borderId="33" xfId="0" applyNumberFormat="1" applyFont="1" applyFill="1" applyBorder="1" applyAlignment="1">
      <alignment vertical="center"/>
    </xf>
    <xf numFmtId="3" fontId="8" fillId="6" borderId="19" xfId="0" applyNumberFormat="1" applyFont="1" applyFill="1" applyBorder="1" applyAlignment="1">
      <alignment vertical="center"/>
    </xf>
    <xf numFmtId="3" fontId="6" fillId="4" borderId="39" xfId="0" applyNumberFormat="1" applyFont="1" applyFill="1" applyBorder="1" applyAlignment="1">
      <alignment vertical="center"/>
    </xf>
    <xf numFmtId="3" fontId="6" fillId="4" borderId="40" xfId="0" applyNumberFormat="1" applyFont="1" applyFill="1" applyBorder="1" applyAlignment="1">
      <alignment vertical="center"/>
    </xf>
    <xf numFmtId="3" fontId="7" fillId="0" borderId="36" xfId="0" applyNumberFormat="1" applyFont="1" applyFill="1" applyBorder="1"/>
    <xf numFmtId="3" fontId="7" fillId="0" borderId="7" xfId="0" applyNumberFormat="1" applyFont="1" applyFill="1" applyBorder="1"/>
    <xf numFmtId="3" fontId="7" fillId="0" borderId="9" xfId="0" applyNumberFormat="1" applyFont="1" applyFill="1" applyBorder="1"/>
    <xf numFmtId="3" fontId="5" fillId="4" borderId="39" xfId="0" applyNumberFormat="1" applyFont="1" applyFill="1" applyBorder="1" applyAlignment="1">
      <alignment horizontal="right" vertical="center"/>
    </xf>
    <xf numFmtId="9" fontId="0" fillId="0" borderId="0" xfId="1" applyFont="1" applyAlignment="1">
      <alignment horizontal="right"/>
    </xf>
    <xf numFmtId="3" fontId="0" fillId="0" borderId="0" xfId="0" applyNumberFormat="1"/>
    <xf numFmtId="9" fontId="0" fillId="0" borderId="0" xfId="0" applyNumberFormat="1" applyAlignment="1">
      <alignment horizontal="right"/>
    </xf>
    <xf numFmtId="3" fontId="6" fillId="0" borderId="11" xfId="0" applyNumberFormat="1" applyFont="1" applyFill="1" applyBorder="1"/>
    <xf numFmtId="3" fontId="6" fillId="4" borderId="41" xfId="0" applyNumberFormat="1" applyFont="1" applyFill="1" applyBorder="1" applyAlignment="1">
      <alignment vertical="center"/>
    </xf>
    <xf numFmtId="0" fontId="7" fillId="0" borderId="14" xfId="0" applyFont="1" applyFill="1" applyBorder="1" applyAlignment="1">
      <alignment horizontal="left" vertical="center"/>
    </xf>
    <xf numFmtId="3" fontId="7" fillId="0" borderId="33" xfId="0" applyNumberFormat="1" applyFont="1" applyFill="1" applyBorder="1" applyAlignment="1">
      <alignment vertical="center"/>
    </xf>
    <xf numFmtId="3" fontId="7" fillId="0" borderId="16" xfId="0" applyNumberFormat="1" applyFont="1" applyFill="1" applyBorder="1" applyAlignment="1">
      <alignment vertical="center"/>
    </xf>
    <xf numFmtId="3" fontId="7" fillId="0" borderId="19" xfId="0" applyNumberFormat="1" applyFont="1" applyFill="1" applyBorder="1" applyAlignment="1">
      <alignment vertical="center"/>
    </xf>
    <xf numFmtId="0" fontId="13" fillId="0" borderId="0" xfId="0" applyFont="1" applyAlignment="1">
      <alignment horizontal="right"/>
    </xf>
    <xf numFmtId="0" fontId="13" fillId="0" borderId="0" xfId="0" applyFont="1"/>
    <xf numFmtId="0" fontId="7" fillId="0" borderId="33" xfId="0" applyFont="1" applyFill="1" applyBorder="1" applyAlignment="1">
      <alignment horizontal="left" vertical="center"/>
    </xf>
    <xf numFmtId="0" fontId="8" fillId="6" borderId="7" xfId="0" applyFont="1" applyFill="1" applyBorder="1" applyAlignment="1">
      <alignment horizontal="left" vertical="center"/>
    </xf>
    <xf numFmtId="3" fontId="8" fillId="6" borderId="8" xfId="0" applyNumberFormat="1" applyFont="1" applyFill="1" applyBorder="1" applyAlignment="1">
      <alignment vertical="center"/>
    </xf>
    <xf numFmtId="3" fontId="7" fillId="0" borderId="42" xfId="0" applyNumberFormat="1" applyFont="1" applyFill="1" applyBorder="1" applyAlignment="1">
      <alignment vertical="center"/>
    </xf>
    <xf numFmtId="3" fontId="8" fillId="6" borderId="43" xfId="0" applyNumberFormat="1" applyFont="1" applyFill="1" applyBorder="1" applyAlignment="1">
      <alignment vertical="center"/>
    </xf>
    <xf numFmtId="3" fontId="7" fillId="0" borderId="44" xfId="0" applyNumberFormat="1" applyFont="1" applyFill="1" applyBorder="1" applyAlignment="1">
      <alignment vertical="center"/>
    </xf>
    <xf numFmtId="3" fontId="8" fillId="6" borderId="45" xfId="0" applyNumberFormat="1" applyFont="1" applyFill="1" applyBorder="1" applyAlignment="1">
      <alignment vertical="center"/>
    </xf>
    <xf numFmtId="3" fontId="8" fillId="6" borderId="7" xfId="0" applyNumberFormat="1" applyFont="1" applyFill="1" applyBorder="1" applyAlignment="1">
      <alignment vertical="center"/>
    </xf>
    <xf numFmtId="3" fontId="8" fillId="6" borderId="9" xfId="0" applyNumberFormat="1" applyFont="1" applyFill="1" applyBorder="1" applyAlignment="1">
      <alignment vertical="center"/>
    </xf>
    <xf numFmtId="3" fontId="6" fillId="4" borderId="41" xfId="0" applyNumberFormat="1" applyFont="1" applyFill="1" applyBorder="1" applyAlignment="1">
      <alignment horizontal="right" vertical="center"/>
    </xf>
    <xf numFmtId="3" fontId="7" fillId="0" borderId="42" xfId="0" applyNumberFormat="1" applyFont="1" applyFill="1" applyBorder="1"/>
    <xf numFmtId="3" fontId="6" fillId="4" borderId="42" xfId="0" applyNumberFormat="1" applyFont="1" applyFill="1" applyBorder="1"/>
    <xf numFmtId="3" fontId="8" fillId="3" borderId="41" xfId="0" applyNumberFormat="1" applyFont="1" applyFill="1" applyBorder="1" applyAlignment="1">
      <alignment vertical="center"/>
    </xf>
    <xf numFmtId="3" fontId="8" fillId="0" borderId="42" xfId="0" applyNumberFormat="1" applyFont="1" applyFill="1" applyBorder="1"/>
    <xf numFmtId="3" fontId="8" fillId="0" borderId="46" xfId="0" applyNumberFormat="1" applyFont="1" applyFill="1" applyBorder="1"/>
    <xf numFmtId="3" fontId="6" fillId="5" borderId="41" xfId="0" applyNumberFormat="1" applyFont="1" applyFill="1" applyBorder="1"/>
    <xf numFmtId="3" fontId="8" fillId="6" borderId="42" xfId="0" applyNumberFormat="1" applyFont="1" applyFill="1" applyBorder="1" applyAlignment="1">
      <alignment vertical="center"/>
    </xf>
    <xf numFmtId="3" fontId="7" fillId="0" borderId="43" xfId="0" applyNumberFormat="1" applyFont="1" applyFill="1" applyBorder="1"/>
    <xf numFmtId="3" fontId="8" fillId="3" borderId="16" xfId="0" applyNumberFormat="1" applyFont="1" applyFill="1" applyBorder="1" applyAlignment="1">
      <alignment vertical="center"/>
    </xf>
    <xf numFmtId="3" fontId="6" fillId="4" borderId="12" xfId="0" applyNumberFormat="1" applyFont="1" applyFill="1" applyBorder="1"/>
    <xf numFmtId="3" fontId="6" fillId="5" borderId="25" xfId="0" applyNumberFormat="1" applyFont="1" applyFill="1" applyBorder="1"/>
    <xf numFmtId="3" fontId="8" fillId="6" borderId="16" xfId="0" applyNumberFormat="1" applyFont="1" applyFill="1" applyBorder="1" applyAlignment="1">
      <alignment vertical="center"/>
    </xf>
    <xf numFmtId="164" fontId="8" fillId="0" borderId="47" xfId="0" applyNumberFormat="1" applyFont="1" applyBorder="1" applyAlignment="1">
      <alignment horizontal="center"/>
    </xf>
    <xf numFmtId="164" fontId="7" fillId="0" borderId="48" xfId="0" applyNumberFormat="1" applyFont="1" applyBorder="1"/>
    <xf numFmtId="164" fontId="7" fillId="2" borderId="18" xfId="0" applyNumberFormat="1" applyFont="1" applyFill="1" applyBorder="1" applyAlignment="1">
      <alignment horizontal="right"/>
    </xf>
    <xf numFmtId="9" fontId="7" fillId="0" borderId="18" xfId="1" applyFont="1" applyBorder="1" applyAlignment="1">
      <alignment horizontal="right"/>
    </xf>
    <xf numFmtId="9" fontId="8" fillId="3" borderId="18" xfId="1" applyFont="1" applyFill="1" applyBorder="1" applyAlignment="1">
      <alignment horizontal="right" vertical="center"/>
    </xf>
    <xf numFmtId="9" fontId="7" fillId="0" borderId="30" xfId="1" applyFont="1" applyBorder="1" applyAlignment="1">
      <alignment horizontal="right"/>
    </xf>
    <xf numFmtId="9" fontId="6" fillId="5" borderId="26" xfId="1" applyNumberFormat="1" applyFont="1" applyFill="1" applyBorder="1" applyAlignment="1">
      <alignment horizontal="right"/>
    </xf>
    <xf numFmtId="9" fontId="7" fillId="7" borderId="13" xfId="1" applyFont="1" applyFill="1" applyBorder="1" applyAlignment="1">
      <alignment horizontal="right"/>
    </xf>
    <xf numFmtId="9" fontId="6" fillId="5" borderId="13" xfId="1" applyFont="1" applyFill="1" applyBorder="1" applyAlignment="1">
      <alignment horizontal="right"/>
    </xf>
    <xf numFmtId="9" fontId="7" fillId="0" borderId="21" xfId="1" applyFont="1" applyBorder="1" applyAlignment="1">
      <alignment horizontal="right"/>
    </xf>
    <xf numFmtId="9" fontId="7" fillId="0" borderId="13" xfId="1" applyFont="1" applyBorder="1" applyAlignment="1">
      <alignment horizontal="right"/>
    </xf>
    <xf numFmtId="9" fontId="7" fillId="0" borderId="18" xfId="1" applyFont="1" applyFill="1" applyBorder="1" applyAlignment="1">
      <alignment horizontal="right" vertical="center"/>
    </xf>
    <xf numFmtId="9" fontId="8" fillId="3" borderId="49" xfId="1" applyFont="1" applyFill="1" applyBorder="1" applyAlignment="1">
      <alignment horizontal="right" vertical="center"/>
    </xf>
    <xf numFmtId="9" fontId="6" fillId="5" borderId="26" xfId="1" applyFont="1" applyFill="1" applyBorder="1" applyAlignment="1">
      <alignment horizontal="right"/>
    </xf>
    <xf numFmtId="9" fontId="7" fillId="0" borderId="49" xfId="1" applyFont="1" applyBorder="1" applyAlignment="1">
      <alignment horizontal="right"/>
    </xf>
    <xf numFmtId="0" fontId="8" fillId="0" borderId="43" xfId="0" applyFont="1" applyBorder="1" applyAlignment="1">
      <alignment horizontal="center"/>
    </xf>
    <xf numFmtId="164" fontId="6" fillId="2" borderId="48" xfId="0" applyNumberFormat="1" applyFont="1" applyFill="1" applyBorder="1" applyAlignment="1">
      <alignment horizontal="center" vertical="center"/>
    </xf>
    <xf numFmtId="0" fontId="7" fillId="2" borderId="50" xfId="0" applyFont="1" applyFill="1" applyBorder="1"/>
    <xf numFmtId="3" fontId="8" fillId="3" borderId="33" xfId="0" applyNumberFormat="1" applyFont="1" applyFill="1" applyBorder="1" applyAlignment="1">
      <alignment vertical="center"/>
    </xf>
    <xf numFmtId="3" fontId="6" fillId="4" borderId="35" xfId="0" applyNumberFormat="1" applyFont="1" applyFill="1" applyBorder="1"/>
    <xf numFmtId="3" fontId="6" fillId="4" borderId="36" xfId="0" applyNumberFormat="1" applyFont="1" applyFill="1" applyBorder="1"/>
    <xf numFmtId="3" fontId="11" fillId="0" borderId="51" xfId="0" applyNumberFormat="1" applyFont="1" applyFill="1" applyBorder="1" applyAlignment="1">
      <alignment horizontal="right"/>
    </xf>
    <xf numFmtId="3" fontId="11" fillId="0" borderId="52" xfId="0" applyNumberFormat="1" applyFont="1" applyFill="1" applyBorder="1" applyAlignment="1">
      <alignment horizontal="right"/>
    </xf>
    <xf numFmtId="3" fontId="6" fillId="5" borderId="39" xfId="0" applyNumberFormat="1" applyFont="1" applyFill="1" applyBorder="1"/>
    <xf numFmtId="3" fontId="8" fillId="6" borderId="33" xfId="0" applyNumberFormat="1" applyFont="1" applyFill="1" applyBorder="1" applyAlignment="1">
      <alignment vertical="center"/>
    </xf>
    <xf numFmtId="9" fontId="8" fillId="0" borderId="18" xfId="1" applyFont="1" applyBorder="1" applyAlignment="1">
      <alignment horizontal="right"/>
    </xf>
    <xf numFmtId="3" fontId="7" fillId="0" borderId="53" xfId="0" applyNumberFormat="1" applyFont="1" applyFill="1" applyBorder="1"/>
    <xf numFmtId="3" fontId="8" fillId="3" borderId="18" xfId="0" applyNumberFormat="1" applyFont="1" applyFill="1" applyBorder="1" applyAlignment="1">
      <alignment vertical="center"/>
    </xf>
    <xf numFmtId="3" fontId="7" fillId="0" borderId="44" xfId="0" applyNumberFormat="1" applyFont="1" applyFill="1" applyBorder="1"/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</cellXfs>
  <cellStyles count="2">
    <cellStyle name="Normale" xfId="0" builtinId="0"/>
    <cellStyle name="Percentual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3"/>
  <sheetViews>
    <sheetView tabSelected="1" topLeftCell="A4" zoomScale="80" zoomScaleNormal="80" workbookViewId="0">
      <selection activeCell="J22" sqref="J22"/>
    </sheetView>
  </sheetViews>
  <sheetFormatPr defaultRowHeight="15" x14ac:dyDescent="0.25"/>
  <cols>
    <col min="1" max="1" width="70.85546875" customWidth="1"/>
    <col min="2" max="3" width="14.85546875" customWidth="1"/>
    <col min="4" max="4" width="16.42578125" bestFit="1" customWidth="1"/>
    <col min="5" max="6" width="14.85546875" customWidth="1"/>
    <col min="7" max="7" width="16.42578125" bestFit="1" customWidth="1"/>
    <col min="8" max="10" width="16.42578125" customWidth="1"/>
    <col min="11" max="11" width="13.140625" bestFit="1" customWidth="1"/>
    <col min="12" max="12" width="10.85546875" bestFit="1" customWidth="1"/>
  </cols>
  <sheetData>
    <row r="1" spans="1:13" ht="18" x14ac:dyDescent="0.25">
      <c r="A1" s="1" t="s">
        <v>50</v>
      </c>
      <c r="B1" s="1"/>
      <c r="C1" s="1"/>
      <c r="D1" s="1"/>
      <c r="E1" s="1"/>
      <c r="F1" s="1"/>
      <c r="G1" s="1"/>
      <c r="H1" s="1"/>
      <c r="I1" s="1"/>
      <c r="J1" s="1"/>
      <c r="K1" s="2"/>
    </row>
    <row r="2" spans="1:13" ht="15.75" thickBot="1" x14ac:dyDescent="0.3">
      <c r="A2" s="3"/>
      <c r="B2" s="4"/>
      <c r="C2" s="4"/>
      <c r="D2" s="4"/>
      <c r="E2" s="4"/>
      <c r="F2" s="4"/>
      <c r="G2" s="4"/>
      <c r="H2" s="4"/>
      <c r="I2" s="4"/>
      <c r="J2" s="4"/>
      <c r="K2" s="5"/>
    </row>
    <row r="3" spans="1:13" ht="15.75" x14ac:dyDescent="0.25">
      <c r="A3" s="6"/>
      <c r="B3" s="181">
        <v>2018</v>
      </c>
      <c r="C3" s="182"/>
      <c r="D3" s="183"/>
      <c r="E3" s="181">
        <v>2019</v>
      </c>
      <c r="F3" s="182"/>
      <c r="G3" s="184"/>
      <c r="H3" s="181">
        <v>2020</v>
      </c>
      <c r="I3" s="182"/>
      <c r="J3" s="183"/>
      <c r="K3" s="168" t="s">
        <v>51</v>
      </c>
    </row>
    <row r="4" spans="1:13" ht="15.75" thickBot="1" x14ac:dyDescent="0.3">
      <c r="A4" s="7"/>
      <c r="B4" s="8" t="s">
        <v>0</v>
      </c>
      <c r="C4" s="9" t="s">
        <v>1</v>
      </c>
      <c r="D4" s="10" t="s">
        <v>43</v>
      </c>
      <c r="E4" s="8" t="s">
        <v>0</v>
      </c>
      <c r="F4" s="9" t="s">
        <v>1</v>
      </c>
      <c r="G4" s="167" t="s">
        <v>44</v>
      </c>
      <c r="H4" s="8" t="s">
        <v>0</v>
      </c>
      <c r="I4" s="9" t="s">
        <v>1</v>
      </c>
      <c r="J4" s="10" t="s">
        <v>49</v>
      </c>
      <c r="K4" s="152" t="s">
        <v>2</v>
      </c>
    </row>
    <row r="5" spans="1:13" x14ac:dyDescent="0.25">
      <c r="A5" s="11" t="s">
        <v>3</v>
      </c>
      <c r="B5" s="81"/>
      <c r="C5" s="14"/>
      <c r="D5" s="82"/>
      <c r="E5" s="13"/>
      <c r="F5" s="12"/>
      <c r="G5" s="13"/>
      <c r="H5" s="169"/>
      <c r="I5" s="13"/>
      <c r="J5" s="15"/>
      <c r="K5" s="153"/>
    </row>
    <row r="6" spans="1:13" x14ac:dyDescent="0.25">
      <c r="A6" s="16" t="s">
        <v>4</v>
      </c>
      <c r="B6" s="83"/>
      <c r="C6" s="18"/>
      <c r="D6" s="84"/>
      <c r="E6" s="17"/>
      <c r="F6" s="18"/>
      <c r="G6" s="17"/>
      <c r="H6" s="83"/>
      <c r="I6" s="18"/>
      <c r="J6" s="84"/>
      <c r="K6" s="154"/>
      <c r="L6" s="70"/>
      <c r="M6" s="70"/>
    </row>
    <row r="7" spans="1:13" x14ac:dyDescent="0.25">
      <c r="A7" s="19" t="s">
        <v>5</v>
      </c>
      <c r="B7" s="85">
        <v>0</v>
      </c>
      <c r="C7" s="21">
        <v>2807608</v>
      </c>
      <c r="D7" s="86">
        <f>+C7+B7</f>
        <v>2807608</v>
      </c>
      <c r="E7" s="22">
        <v>65888</v>
      </c>
      <c r="F7" s="21">
        <v>2978331</v>
      </c>
      <c r="G7" s="22">
        <f>+F7+E7</f>
        <v>3044219</v>
      </c>
      <c r="H7" s="85">
        <v>0</v>
      </c>
      <c r="I7" s="21">
        <v>2070745</v>
      </c>
      <c r="J7" s="86">
        <f>+I7+H7</f>
        <v>2070745</v>
      </c>
      <c r="K7" s="155">
        <f>+(J7-G7)/G7</f>
        <v>-0.31977791348125745</v>
      </c>
      <c r="L7" s="70"/>
      <c r="M7" s="70"/>
    </row>
    <row r="8" spans="1:13" x14ac:dyDescent="0.25">
      <c r="A8" s="19" t="s">
        <v>6</v>
      </c>
      <c r="B8" s="85">
        <v>1338459</v>
      </c>
      <c r="C8" s="21">
        <v>461387</v>
      </c>
      <c r="D8" s="86">
        <f>+C8+B8</f>
        <v>1799846</v>
      </c>
      <c r="E8" s="22">
        <v>1030381</v>
      </c>
      <c r="F8" s="21">
        <v>359906</v>
      </c>
      <c r="G8" s="22">
        <f>+F8+E8</f>
        <v>1390287</v>
      </c>
      <c r="H8" s="85">
        <v>837010</v>
      </c>
      <c r="I8" s="21">
        <v>537849</v>
      </c>
      <c r="J8" s="86">
        <f>+I8+H8</f>
        <v>1374859</v>
      </c>
      <c r="K8" s="155">
        <f t="shared" ref="K8:K56" si="0">+(J8-G8)/G8</f>
        <v>-1.1096989326664206E-2</v>
      </c>
      <c r="L8" s="70"/>
      <c r="M8" s="70"/>
    </row>
    <row r="9" spans="1:13" x14ac:dyDescent="0.25">
      <c r="A9" s="23" t="s">
        <v>7</v>
      </c>
      <c r="B9" s="24">
        <f>+B8+B7</f>
        <v>1338459</v>
      </c>
      <c r="C9" s="25">
        <f>+C8+C7</f>
        <v>3268995</v>
      </c>
      <c r="D9" s="87">
        <f t="shared" ref="D9" si="1">+D8+D7</f>
        <v>4607454</v>
      </c>
      <c r="E9" s="24">
        <f>+E8+E7</f>
        <v>1096269</v>
      </c>
      <c r="F9" s="25">
        <f>+F8+F7</f>
        <v>3338237</v>
      </c>
      <c r="G9" s="28">
        <f t="shared" ref="G9" si="2">+G8+G7</f>
        <v>4434506</v>
      </c>
      <c r="H9" s="88">
        <f>+H8+H7</f>
        <v>837010</v>
      </c>
      <c r="I9" s="25">
        <f>+I8+I7</f>
        <v>2608594</v>
      </c>
      <c r="J9" s="87">
        <f t="shared" ref="J9" si="3">+J8+J7</f>
        <v>3445604</v>
      </c>
      <c r="K9" s="156">
        <f t="shared" si="0"/>
        <v>-0.22300161506151983</v>
      </c>
      <c r="L9" s="70"/>
      <c r="M9" s="70"/>
    </row>
    <row r="10" spans="1:13" x14ac:dyDescent="0.25">
      <c r="A10" s="26" t="s">
        <v>8</v>
      </c>
      <c r="B10" s="83"/>
      <c r="C10" s="18"/>
      <c r="D10" s="84"/>
      <c r="E10" s="17"/>
      <c r="F10" s="18"/>
      <c r="G10" s="17"/>
      <c r="H10" s="83"/>
      <c r="I10" s="18"/>
      <c r="J10" s="84"/>
      <c r="K10" s="155"/>
      <c r="L10" s="70"/>
      <c r="M10" s="70"/>
    </row>
    <row r="11" spans="1:13" x14ac:dyDescent="0.25">
      <c r="A11" s="19" t="s">
        <v>9</v>
      </c>
      <c r="B11" s="85">
        <v>5000</v>
      </c>
      <c r="C11" s="21">
        <v>43314</v>
      </c>
      <c r="D11" s="86">
        <f>+C11+B11</f>
        <v>48314</v>
      </c>
      <c r="E11" s="22">
        <v>0</v>
      </c>
      <c r="F11" s="21">
        <v>24078</v>
      </c>
      <c r="G11" s="22">
        <f>+F11+E11</f>
        <v>24078</v>
      </c>
      <c r="H11" s="85">
        <v>0</v>
      </c>
      <c r="I11" s="21">
        <v>31815</v>
      </c>
      <c r="J11" s="86">
        <f>+I11+H11</f>
        <v>31815</v>
      </c>
      <c r="K11" s="155">
        <f t="shared" si="0"/>
        <v>0.32133067530525788</v>
      </c>
      <c r="L11" s="70"/>
      <c r="M11" s="70"/>
    </row>
    <row r="12" spans="1:13" x14ac:dyDescent="0.25">
      <c r="A12" s="27" t="s">
        <v>46</v>
      </c>
      <c r="B12" s="85">
        <v>5106</v>
      </c>
      <c r="C12" s="21">
        <v>13208</v>
      </c>
      <c r="D12" s="86">
        <f t="shared" ref="D12:D15" si="4">+C12+B12</f>
        <v>18314</v>
      </c>
      <c r="E12" s="22">
        <f>0+1</f>
        <v>1</v>
      </c>
      <c r="F12" s="21">
        <f>46018+12948</f>
        <v>58966</v>
      </c>
      <c r="G12" s="22">
        <f t="shared" ref="G12:G15" si="5">+F12+E12</f>
        <v>58967</v>
      </c>
      <c r="H12" s="85">
        <v>0</v>
      </c>
      <c r="I12" s="21">
        <v>56870</v>
      </c>
      <c r="J12" s="86">
        <f t="shared" ref="J12:J15" si="6">+I12+H12</f>
        <v>56870</v>
      </c>
      <c r="K12" s="155">
        <f t="shared" si="0"/>
        <v>-3.5562263638984515E-2</v>
      </c>
      <c r="L12" s="70"/>
      <c r="M12" s="70"/>
    </row>
    <row r="13" spans="1:13" x14ac:dyDescent="0.25">
      <c r="A13" s="27" t="s">
        <v>10</v>
      </c>
      <c r="B13" s="85">
        <v>12119</v>
      </c>
      <c r="C13" s="21">
        <v>71681</v>
      </c>
      <c r="D13" s="86">
        <f t="shared" si="4"/>
        <v>83800</v>
      </c>
      <c r="E13" s="22">
        <v>8677</v>
      </c>
      <c r="F13" s="21">
        <v>121227</v>
      </c>
      <c r="G13" s="22">
        <f t="shared" si="5"/>
        <v>129904</v>
      </c>
      <c r="H13" s="85">
        <v>1</v>
      </c>
      <c r="I13" s="21">
        <v>86220</v>
      </c>
      <c r="J13" s="86">
        <f t="shared" si="6"/>
        <v>86221</v>
      </c>
      <c r="K13" s="155">
        <f t="shared" si="0"/>
        <v>-0.33627140041877079</v>
      </c>
      <c r="L13" s="70"/>
      <c r="M13" s="70"/>
    </row>
    <row r="14" spans="1:13" ht="14.25" customHeight="1" x14ac:dyDescent="0.25">
      <c r="A14" s="27" t="s">
        <v>11</v>
      </c>
      <c r="B14" s="85">
        <f>4493+36</f>
        <v>4529</v>
      </c>
      <c r="C14" s="21">
        <f>7239+30717+64076</f>
        <v>102032</v>
      </c>
      <c r="D14" s="86">
        <f t="shared" si="4"/>
        <v>106561</v>
      </c>
      <c r="E14" s="22">
        <f>18582+239+54+578</f>
        <v>19453</v>
      </c>
      <c r="F14" s="21">
        <f>1272+4510+2863+91185</f>
        <v>99830</v>
      </c>
      <c r="G14" s="22">
        <f t="shared" si="5"/>
        <v>119283</v>
      </c>
      <c r="H14" s="85">
        <v>1381</v>
      </c>
      <c r="I14" s="21">
        <v>56780</v>
      </c>
      <c r="J14" s="86">
        <f t="shared" si="6"/>
        <v>58161</v>
      </c>
      <c r="K14" s="155">
        <f t="shared" si="0"/>
        <v>-0.51241165966650737</v>
      </c>
      <c r="L14" s="70"/>
      <c r="M14" s="70"/>
    </row>
    <row r="15" spans="1:13" x14ac:dyDescent="0.25">
      <c r="A15" s="27" t="s">
        <v>12</v>
      </c>
      <c r="B15" s="85">
        <f>1+21291+298+4250+1249+161+84+1</f>
        <v>27335</v>
      </c>
      <c r="C15" s="21">
        <f>8909+2500+1+9560+230+95</f>
        <v>21295</v>
      </c>
      <c r="D15" s="86">
        <f t="shared" si="4"/>
        <v>48630</v>
      </c>
      <c r="E15" s="22">
        <v>36880</v>
      </c>
      <c r="F15" s="21">
        <v>17836</v>
      </c>
      <c r="G15" s="22">
        <f t="shared" si="5"/>
        <v>54716</v>
      </c>
      <c r="H15" s="85">
        <f>4965+12648</f>
        <v>17613</v>
      </c>
      <c r="I15" s="21">
        <f>11+1515</f>
        <v>1526</v>
      </c>
      <c r="J15" s="86">
        <f t="shared" si="6"/>
        <v>19139</v>
      </c>
      <c r="K15" s="155">
        <f t="shared" si="0"/>
        <v>-0.6502120038014475</v>
      </c>
      <c r="L15" s="70"/>
      <c r="M15" s="70"/>
    </row>
    <row r="16" spans="1:13" x14ac:dyDescent="0.25">
      <c r="A16" s="23" t="s">
        <v>13</v>
      </c>
      <c r="B16" s="88">
        <f>SUM(B11:B15)</f>
        <v>54089</v>
      </c>
      <c r="C16" s="25">
        <f>SUM(C11:C15)</f>
        <v>251530</v>
      </c>
      <c r="D16" s="87">
        <f>+C16+B16</f>
        <v>305619</v>
      </c>
      <c r="E16" s="24">
        <f>SUM(E11:E15)</f>
        <v>65011</v>
      </c>
      <c r="F16" s="25">
        <f>SUM(F11:F15)</f>
        <v>321937</v>
      </c>
      <c r="G16" s="28">
        <f>+F16+E16</f>
        <v>386948</v>
      </c>
      <c r="H16" s="24">
        <f>SUM(H11:H15)</f>
        <v>18995</v>
      </c>
      <c r="I16" s="25">
        <f>SUM(I11:I15)</f>
        <v>233211</v>
      </c>
      <c r="J16" s="179">
        <f>+I16+H16</f>
        <v>252206</v>
      </c>
      <c r="K16" s="156">
        <f t="shared" si="0"/>
        <v>-0.34821733152775047</v>
      </c>
      <c r="L16" s="71"/>
      <c r="M16" s="70"/>
    </row>
    <row r="17" spans="1:13" x14ac:dyDescent="0.25">
      <c r="A17" s="29"/>
      <c r="B17" s="89"/>
      <c r="C17" s="30"/>
      <c r="D17" s="90"/>
      <c r="E17" s="31"/>
      <c r="F17" s="30"/>
      <c r="G17" s="31"/>
      <c r="H17" s="89"/>
      <c r="I17" s="30"/>
      <c r="J17" s="90"/>
      <c r="K17" s="155"/>
      <c r="L17" s="71"/>
      <c r="M17" s="70"/>
    </row>
    <row r="18" spans="1:13" x14ac:dyDescent="0.25">
      <c r="A18" s="23" t="s">
        <v>45</v>
      </c>
      <c r="B18" s="88">
        <f>1214004+1192675</f>
        <v>2406679</v>
      </c>
      <c r="C18" s="25">
        <f>1177572+1186146</f>
        <v>2363718</v>
      </c>
      <c r="D18" s="87">
        <f>+C18+B18</f>
        <v>4770397</v>
      </c>
      <c r="E18" s="24">
        <f>1181085+1188692</f>
        <v>2369777</v>
      </c>
      <c r="F18" s="25">
        <f>1172019+1151735</f>
        <v>2323754</v>
      </c>
      <c r="G18" s="28">
        <f>+F18+E18</f>
        <v>4693531</v>
      </c>
      <c r="H18" s="88">
        <f>1024352+927352</f>
        <v>1951704</v>
      </c>
      <c r="I18" s="25">
        <f>1042442+950935</f>
        <v>1993377</v>
      </c>
      <c r="J18" s="87">
        <f>+I18+H18</f>
        <v>3945081</v>
      </c>
      <c r="K18" s="156">
        <f t="shared" si="0"/>
        <v>-0.15946416461295346</v>
      </c>
      <c r="L18" s="71"/>
      <c r="M18" s="70"/>
    </row>
    <row r="19" spans="1:13" x14ac:dyDescent="0.25">
      <c r="A19" s="32"/>
      <c r="B19" s="83"/>
      <c r="C19" s="18"/>
      <c r="D19" s="84"/>
      <c r="E19" s="17"/>
      <c r="F19" s="18"/>
      <c r="G19" s="17"/>
      <c r="H19" s="83"/>
      <c r="I19" s="18"/>
      <c r="J19" s="84"/>
      <c r="K19" s="155"/>
      <c r="L19" s="70"/>
      <c r="M19" s="70"/>
    </row>
    <row r="20" spans="1:13" x14ac:dyDescent="0.25">
      <c r="A20" s="23" t="s">
        <v>14</v>
      </c>
      <c r="B20" s="88">
        <v>628140</v>
      </c>
      <c r="C20" s="25">
        <v>507409</v>
      </c>
      <c r="D20" s="87">
        <f>+C20+B20</f>
        <v>1135549</v>
      </c>
      <c r="E20" s="24">
        <v>711707</v>
      </c>
      <c r="F20" s="25">
        <v>540490</v>
      </c>
      <c r="G20" s="28">
        <f>+F20+E20</f>
        <v>1252197</v>
      </c>
      <c r="H20" s="170">
        <v>693732</v>
      </c>
      <c r="I20" s="148">
        <v>514897</v>
      </c>
      <c r="J20" s="87">
        <f>+I20+H20</f>
        <v>1208629</v>
      </c>
      <c r="K20" s="156">
        <f t="shared" si="0"/>
        <v>-3.4793247388390167E-2</v>
      </c>
      <c r="L20" s="70"/>
      <c r="M20" s="70"/>
    </row>
    <row r="21" spans="1:13" ht="15.75" thickBot="1" x14ac:dyDescent="0.3">
      <c r="A21" s="63"/>
      <c r="B21" s="91"/>
      <c r="C21" s="64"/>
      <c r="D21" s="92"/>
      <c r="E21" s="65"/>
      <c r="F21" s="64"/>
      <c r="G21" s="65"/>
      <c r="H21" s="91"/>
      <c r="I21" s="64"/>
      <c r="J21" s="92"/>
      <c r="K21" s="157"/>
      <c r="L21" s="70"/>
      <c r="M21" s="70"/>
    </row>
    <row r="22" spans="1:13" ht="16.5" thickBot="1" x14ac:dyDescent="0.3">
      <c r="A22" s="50" t="s">
        <v>15</v>
      </c>
      <c r="B22" s="118">
        <f>+B20+B18+B16+B9</f>
        <v>4427367</v>
      </c>
      <c r="C22" s="66">
        <f>+C20+C18+C16+C9</f>
        <v>6391652</v>
      </c>
      <c r="D22" s="93">
        <f>+C22+B22</f>
        <v>10819019</v>
      </c>
      <c r="E22" s="118">
        <f>+E20+E18+E16+E9</f>
        <v>4242764</v>
      </c>
      <c r="F22" s="66">
        <f>+F20+F18+F16+F9</f>
        <v>6524418</v>
      </c>
      <c r="G22" s="139">
        <f>+F22+E22</f>
        <v>10767182</v>
      </c>
      <c r="H22" s="118">
        <f>+H20+H18+H16+H9</f>
        <v>3501441</v>
      </c>
      <c r="I22" s="66">
        <f>+I20+I18+I16+I9</f>
        <v>5350079</v>
      </c>
      <c r="J22" s="93">
        <f>+I22+H22</f>
        <v>8851520</v>
      </c>
      <c r="K22" s="158">
        <f t="shared" si="0"/>
        <v>-0.17791674739035709</v>
      </c>
      <c r="L22" s="71"/>
      <c r="M22" s="70"/>
    </row>
    <row r="23" spans="1:13" x14ac:dyDescent="0.25">
      <c r="A23" s="33" t="s">
        <v>16</v>
      </c>
      <c r="B23" s="94"/>
      <c r="C23" s="34"/>
      <c r="D23" s="95"/>
      <c r="E23" s="35"/>
      <c r="F23" s="34"/>
      <c r="G23" s="35"/>
      <c r="H23" s="94"/>
      <c r="I23" s="34"/>
      <c r="J23" s="95"/>
      <c r="K23" s="159"/>
      <c r="L23" s="71"/>
      <c r="M23" s="70"/>
    </row>
    <row r="24" spans="1:13" x14ac:dyDescent="0.25">
      <c r="A24" s="19" t="s">
        <v>17</v>
      </c>
      <c r="B24" s="85">
        <f>6160+2314</f>
        <v>8474</v>
      </c>
      <c r="C24" s="21">
        <f>1178+10357</f>
        <v>11535</v>
      </c>
      <c r="D24" s="86">
        <f>+C24+B24</f>
        <v>20009</v>
      </c>
      <c r="E24" s="22">
        <f>7539+1571</f>
        <v>9110</v>
      </c>
      <c r="F24" s="21">
        <f>1044+13422</f>
        <v>14466</v>
      </c>
      <c r="G24" s="22">
        <f>+F24+E24</f>
        <v>23576</v>
      </c>
      <c r="H24" s="85">
        <f>7231+1123</f>
        <v>8354</v>
      </c>
      <c r="I24" s="21">
        <f>1191+11865</f>
        <v>13056</v>
      </c>
      <c r="J24" s="86">
        <f>+I24+H24</f>
        <v>21410</v>
      </c>
      <c r="K24" s="155">
        <f t="shared" si="0"/>
        <v>-9.1873091279267058E-2</v>
      </c>
      <c r="L24" s="71"/>
      <c r="M24" s="70"/>
    </row>
    <row r="25" spans="1:13" x14ac:dyDescent="0.25">
      <c r="A25" s="19" t="s">
        <v>18</v>
      </c>
      <c r="B25" s="85">
        <f>11333+28762</f>
        <v>40095</v>
      </c>
      <c r="C25" s="21">
        <f>16502+20511</f>
        <v>37013</v>
      </c>
      <c r="D25" s="86">
        <f t="shared" ref="D25" si="7">+C25+B25</f>
        <v>77108</v>
      </c>
      <c r="E25" s="22">
        <f>11190+33872</f>
        <v>45062</v>
      </c>
      <c r="F25" s="21">
        <f>17958+20366</f>
        <v>38324</v>
      </c>
      <c r="G25" s="22">
        <f>+F25+E25</f>
        <v>83386</v>
      </c>
      <c r="H25" s="85">
        <f>9919+31276</f>
        <v>41195</v>
      </c>
      <c r="I25" s="21">
        <f>17596+16616</f>
        <v>34212</v>
      </c>
      <c r="J25" s="86">
        <f>+I25+H25</f>
        <v>75407</v>
      </c>
      <c r="K25" s="155">
        <f t="shared" si="0"/>
        <v>-9.5687525483894184E-2</v>
      </c>
      <c r="L25" s="70"/>
      <c r="M25" s="70"/>
    </row>
    <row r="26" spans="1:13" x14ac:dyDescent="0.25">
      <c r="A26" s="36" t="s">
        <v>19</v>
      </c>
      <c r="B26" s="20">
        <f>+B25+B24</f>
        <v>48569</v>
      </c>
      <c r="C26" s="21">
        <f t="shared" ref="C26:G26" si="8">+C25+C24</f>
        <v>48548</v>
      </c>
      <c r="D26" s="180">
        <f t="shared" si="8"/>
        <v>97117</v>
      </c>
      <c r="E26" s="20">
        <f t="shared" si="8"/>
        <v>54172</v>
      </c>
      <c r="F26" s="21">
        <f t="shared" si="8"/>
        <v>52790</v>
      </c>
      <c r="G26" s="140">
        <f t="shared" si="8"/>
        <v>106962</v>
      </c>
      <c r="H26" s="85">
        <f>+H25+H24</f>
        <v>49549</v>
      </c>
      <c r="I26" s="21">
        <f>+I25+I24</f>
        <v>47268</v>
      </c>
      <c r="J26" s="86">
        <f t="shared" ref="J26" si="9">+J25+J24</f>
        <v>96817</v>
      </c>
      <c r="K26" s="155">
        <f t="shared" si="0"/>
        <v>-9.4846768011069352E-2</v>
      </c>
      <c r="L26" s="70"/>
      <c r="M26" s="70"/>
    </row>
    <row r="27" spans="1:13" x14ac:dyDescent="0.25">
      <c r="A27" s="37"/>
      <c r="B27" s="85"/>
      <c r="C27" s="21"/>
      <c r="D27" s="86"/>
      <c r="E27" s="22"/>
      <c r="F27" s="21"/>
      <c r="G27" s="22"/>
      <c r="H27" s="85"/>
      <c r="I27" s="21"/>
      <c r="J27" s="86"/>
      <c r="K27" s="155"/>
      <c r="L27" s="70"/>
      <c r="M27" s="70"/>
    </row>
    <row r="28" spans="1:13" ht="15.75" x14ac:dyDescent="0.25">
      <c r="A28" s="38" t="s">
        <v>20</v>
      </c>
      <c r="B28" s="97">
        <v>79645</v>
      </c>
      <c r="C28" s="56">
        <v>79416</v>
      </c>
      <c r="D28" s="98">
        <f>+C28+B28</f>
        <v>159061</v>
      </c>
      <c r="E28" s="97">
        <v>89615</v>
      </c>
      <c r="F28" s="56">
        <v>86578</v>
      </c>
      <c r="G28" s="141">
        <f>+F28+E28</f>
        <v>176193</v>
      </c>
      <c r="H28" s="171">
        <v>81948</v>
      </c>
      <c r="I28" s="149">
        <v>76729</v>
      </c>
      <c r="J28" s="172">
        <f>+I28+H28</f>
        <v>158677</v>
      </c>
      <c r="K28" s="160">
        <f t="shared" si="0"/>
        <v>-9.9413711100895044E-2</v>
      </c>
      <c r="L28" s="70"/>
      <c r="M28" s="70"/>
    </row>
    <row r="29" spans="1:13" ht="15.75" thickBot="1" x14ac:dyDescent="0.3">
      <c r="A29" s="39"/>
      <c r="B29" s="99"/>
      <c r="C29" s="80"/>
      <c r="D29" s="100"/>
      <c r="E29" s="57"/>
      <c r="F29" s="59"/>
      <c r="G29" s="57"/>
      <c r="H29" s="173"/>
      <c r="I29" s="59"/>
      <c r="J29" s="174"/>
      <c r="K29" s="161"/>
      <c r="L29" s="70"/>
      <c r="M29" s="70"/>
    </row>
    <row r="30" spans="1:13" ht="15.75" thickBot="1" x14ac:dyDescent="0.3">
      <c r="A30" s="61" t="s">
        <v>21</v>
      </c>
      <c r="B30" s="101">
        <v>130048</v>
      </c>
      <c r="C30" s="62">
        <v>119623</v>
      </c>
      <c r="D30" s="102">
        <f>+C30+B30</f>
        <v>249671</v>
      </c>
      <c r="E30" s="101">
        <v>137468</v>
      </c>
      <c r="F30" s="62">
        <v>124079</v>
      </c>
      <c r="G30" s="142">
        <f>+F30+E30</f>
        <v>261547</v>
      </c>
      <c r="H30" s="101">
        <v>54455</v>
      </c>
      <c r="I30" s="62">
        <v>45133</v>
      </c>
      <c r="J30" s="102">
        <f>+I30+H30</f>
        <v>99588</v>
      </c>
      <c r="K30" s="72">
        <f t="shared" si="0"/>
        <v>-0.6192347838055875</v>
      </c>
      <c r="L30" s="70"/>
      <c r="M30" s="70"/>
    </row>
    <row r="31" spans="1:13" x14ac:dyDescent="0.25">
      <c r="A31" s="60"/>
      <c r="B31" s="103"/>
      <c r="C31" s="41"/>
      <c r="D31" s="104"/>
      <c r="E31" s="40"/>
      <c r="F31" s="41"/>
      <c r="G31" s="40"/>
      <c r="H31" s="103"/>
      <c r="I31" s="41"/>
      <c r="J31" s="104"/>
      <c r="K31" s="162"/>
      <c r="L31" s="70"/>
      <c r="M31" s="70"/>
    </row>
    <row r="32" spans="1:13" x14ac:dyDescent="0.25">
      <c r="A32" s="42" t="s">
        <v>22</v>
      </c>
      <c r="B32" s="85">
        <v>51132</v>
      </c>
      <c r="C32" s="21">
        <v>54797</v>
      </c>
      <c r="D32" s="86">
        <f>+C32+B32</f>
        <v>105929</v>
      </c>
      <c r="E32" s="85">
        <v>50357</v>
      </c>
      <c r="F32" s="21">
        <v>53086</v>
      </c>
      <c r="G32" s="140">
        <f>+F32+E32</f>
        <v>103443</v>
      </c>
      <c r="H32" s="85">
        <v>45853</v>
      </c>
      <c r="I32" s="21">
        <v>51219</v>
      </c>
      <c r="J32" s="86">
        <f>+I32+H32</f>
        <v>97072</v>
      </c>
      <c r="K32" s="155">
        <f t="shared" si="0"/>
        <v>-6.1589474396527559E-2</v>
      </c>
      <c r="L32" s="119"/>
      <c r="M32" s="70"/>
    </row>
    <row r="33" spans="1:13" x14ac:dyDescent="0.25">
      <c r="A33" s="42" t="s">
        <v>23</v>
      </c>
      <c r="B33" s="85">
        <v>3381</v>
      </c>
      <c r="C33" s="21">
        <v>3353</v>
      </c>
      <c r="D33" s="86">
        <f t="shared" ref="D33:D42" si="10">+C33+B33</f>
        <v>6734</v>
      </c>
      <c r="E33" s="22">
        <v>2940</v>
      </c>
      <c r="F33" s="21">
        <v>3295</v>
      </c>
      <c r="G33" s="140">
        <f t="shared" ref="G33:G37" si="11">+F33+E33</f>
        <v>6235</v>
      </c>
      <c r="H33" s="85">
        <v>1867</v>
      </c>
      <c r="I33" s="21">
        <v>1981</v>
      </c>
      <c r="J33" s="86">
        <f t="shared" ref="J33:J37" si="12">+I33+H33</f>
        <v>3848</v>
      </c>
      <c r="K33" s="155">
        <f t="shared" si="0"/>
        <v>-0.38283881315156376</v>
      </c>
      <c r="L33" s="119"/>
      <c r="M33" s="70"/>
    </row>
    <row r="34" spans="1:13" x14ac:dyDescent="0.25">
      <c r="A34" s="42" t="s">
        <v>24</v>
      </c>
      <c r="B34" s="85">
        <v>11448</v>
      </c>
      <c r="C34" s="21">
        <v>8931</v>
      </c>
      <c r="D34" s="86">
        <f t="shared" si="10"/>
        <v>20379</v>
      </c>
      <c r="E34" s="22">
        <v>11992</v>
      </c>
      <c r="F34" s="21">
        <v>9864</v>
      </c>
      <c r="G34" s="140">
        <f t="shared" si="11"/>
        <v>21856</v>
      </c>
      <c r="H34" s="85">
        <v>8627</v>
      </c>
      <c r="I34" s="21">
        <v>6518</v>
      </c>
      <c r="J34" s="86">
        <f t="shared" si="12"/>
        <v>15145</v>
      </c>
      <c r="K34" s="155">
        <f t="shared" si="0"/>
        <v>-0.30705527086383599</v>
      </c>
      <c r="L34" s="119"/>
      <c r="M34" s="70"/>
    </row>
    <row r="35" spans="1:13" x14ac:dyDescent="0.25">
      <c r="A35" s="42" t="s">
        <v>25</v>
      </c>
      <c r="B35" s="85">
        <v>0</v>
      </c>
      <c r="C35" s="21">
        <v>0</v>
      </c>
      <c r="D35" s="86">
        <f t="shared" si="10"/>
        <v>0</v>
      </c>
      <c r="E35" s="22">
        <v>1</v>
      </c>
      <c r="F35" s="21">
        <v>0</v>
      </c>
      <c r="G35" s="140">
        <f t="shared" si="11"/>
        <v>1</v>
      </c>
      <c r="H35" s="85">
        <v>0</v>
      </c>
      <c r="I35" s="21">
        <v>60</v>
      </c>
      <c r="J35" s="86">
        <f t="shared" si="12"/>
        <v>60</v>
      </c>
      <c r="K35" s="155">
        <f t="shared" si="0"/>
        <v>59</v>
      </c>
      <c r="L35" s="70"/>
      <c r="M35" s="70"/>
    </row>
    <row r="36" spans="1:13" x14ac:dyDescent="0.25">
      <c r="A36" s="42" t="s">
        <v>42</v>
      </c>
      <c r="B36" s="85">
        <v>0</v>
      </c>
      <c r="C36" s="21">
        <v>88</v>
      </c>
      <c r="D36" s="86">
        <f t="shared" si="10"/>
        <v>88</v>
      </c>
      <c r="E36" s="22">
        <v>0</v>
      </c>
      <c r="F36" s="21">
        <v>0</v>
      </c>
      <c r="G36" s="140">
        <f t="shared" si="11"/>
        <v>0</v>
      </c>
      <c r="H36" s="85">
        <v>0</v>
      </c>
      <c r="I36" s="21">
        <v>0</v>
      </c>
      <c r="J36" s="86">
        <f t="shared" si="12"/>
        <v>0</v>
      </c>
      <c r="K36" s="155" t="e">
        <f t="shared" si="0"/>
        <v>#DIV/0!</v>
      </c>
      <c r="L36" s="70"/>
      <c r="M36" s="70"/>
    </row>
    <row r="37" spans="1:13" x14ac:dyDescent="0.25">
      <c r="A37" s="43" t="s">
        <v>26</v>
      </c>
      <c r="B37" s="85">
        <f>SUM(B32:B36)</f>
        <v>65961</v>
      </c>
      <c r="C37" s="21">
        <f>SUM(C32:C36)</f>
        <v>67169</v>
      </c>
      <c r="D37" s="96">
        <f t="shared" si="10"/>
        <v>133130</v>
      </c>
      <c r="E37" s="85">
        <f>SUM(E32:E36)</f>
        <v>65290</v>
      </c>
      <c r="F37" s="21">
        <f>SUM(F32:F36)</f>
        <v>66245</v>
      </c>
      <c r="G37" s="143">
        <f t="shared" si="11"/>
        <v>131535</v>
      </c>
      <c r="H37" s="20">
        <f>SUM(H32:H36)</f>
        <v>56347</v>
      </c>
      <c r="I37" s="21">
        <f>SUM(I32:I36)</f>
        <v>59778</v>
      </c>
      <c r="J37" s="96">
        <f t="shared" si="12"/>
        <v>116125</v>
      </c>
      <c r="K37" s="177">
        <f t="shared" si="0"/>
        <v>-0.11715512981335766</v>
      </c>
      <c r="L37" s="70"/>
      <c r="M37" s="70"/>
    </row>
    <row r="38" spans="1:13" x14ac:dyDescent="0.25">
      <c r="A38" s="44"/>
      <c r="B38" s="85"/>
      <c r="C38" s="21"/>
      <c r="D38" s="86"/>
      <c r="E38" s="22"/>
      <c r="F38" s="21"/>
      <c r="G38" s="22"/>
      <c r="H38" s="85"/>
      <c r="I38" s="21"/>
      <c r="J38" s="86"/>
      <c r="K38" s="155"/>
      <c r="L38" s="70"/>
      <c r="M38" s="70"/>
    </row>
    <row r="39" spans="1:13" x14ac:dyDescent="0.25">
      <c r="A39" s="45" t="s">
        <v>27</v>
      </c>
      <c r="B39" s="85">
        <v>6669</v>
      </c>
      <c r="C39" s="21">
        <v>5989</v>
      </c>
      <c r="D39" s="86">
        <f t="shared" si="10"/>
        <v>12658</v>
      </c>
      <c r="E39" s="85">
        <v>6121</v>
      </c>
      <c r="F39" s="21">
        <v>5384</v>
      </c>
      <c r="G39" s="140">
        <f t="shared" ref="G39:G42" si="13">+F39+E39</f>
        <v>11505</v>
      </c>
      <c r="H39" s="85">
        <v>6541</v>
      </c>
      <c r="I39" s="21">
        <v>6024</v>
      </c>
      <c r="J39" s="86">
        <f t="shared" ref="J39:J42" si="14">+I39+H39</f>
        <v>12565</v>
      </c>
      <c r="K39" s="155">
        <f t="shared" si="0"/>
        <v>9.2133854845719246E-2</v>
      </c>
      <c r="L39" s="70"/>
      <c r="M39" s="70"/>
    </row>
    <row r="40" spans="1:13" x14ac:dyDescent="0.25">
      <c r="A40" s="45" t="s">
        <v>28</v>
      </c>
      <c r="B40" s="85">
        <v>874</v>
      </c>
      <c r="C40" s="21">
        <v>988</v>
      </c>
      <c r="D40" s="86">
        <f t="shared" si="10"/>
        <v>1862</v>
      </c>
      <c r="E40" s="22">
        <v>423</v>
      </c>
      <c r="F40" s="21">
        <v>411</v>
      </c>
      <c r="G40" s="140">
        <f t="shared" si="13"/>
        <v>834</v>
      </c>
      <c r="H40" s="85">
        <v>439</v>
      </c>
      <c r="I40" s="21">
        <v>341</v>
      </c>
      <c r="J40" s="86">
        <f t="shared" si="14"/>
        <v>780</v>
      </c>
      <c r="K40" s="155">
        <f t="shared" si="0"/>
        <v>-6.4748201438848921E-2</v>
      </c>
      <c r="L40" s="70"/>
      <c r="M40" s="70"/>
    </row>
    <row r="41" spans="1:13" x14ac:dyDescent="0.25">
      <c r="A41" s="45" t="s">
        <v>29</v>
      </c>
      <c r="B41" s="85">
        <v>0</v>
      </c>
      <c r="C41" s="21">
        <v>0</v>
      </c>
      <c r="D41" s="86">
        <f t="shared" si="10"/>
        <v>0</v>
      </c>
      <c r="E41" s="22">
        <v>0</v>
      </c>
      <c r="F41" s="21">
        <v>0</v>
      </c>
      <c r="G41" s="140">
        <f t="shared" si="13"/>
        <v>0</v>
      </c>
      <c r="H41" s="85">
        <v>0</v>
      </c>
      <c r="I41" s="21">
        <v>4</v>
      </c>
      <c r="J41" s="86">
        <f t="shared" si="14"/>
        <v>4</v>
      </c>
      <c r="K41" s="155" t="e">
        <f t="shared" si="0"/>
        <v>#DIV/0!</v>
      </c>
      <c r="L41" s="70"/>
      <c r="M41" s="70"/>
    </row>
    <row r="42" spans="1:13" ht="15.75" thickBot="1" x14ac:dyDescent="0.3">
      <c r="A42" s="74" t="s">
        <v>30</v>
      </c>
      <c r="B42" s="105">
        <f>SUM(B39:B41)</f>
        <v>7543</v>
      </c>
      <c r="C42" s="75">
        <f>SUM(C39:C41)</f>
        <v>6977</v>
      </c>
      <c r="D42" s="106">
        <f t="shared" si="10"/>
        <v>14520</v>
      </c>
      <c r="E42" s="105">
        <f>SUM(E39:E41)</f>
        <v>6544</v>
      </c>
      <c r="F42" s="75">
        <f>SUM(F39:F41)</f>
        <v>5795</v>
      </c>
      <c r="G42" s="144">
        <f t="shared" si="13"/>
        <v>12339</v>
      </c>
      <c r="H42" s="178">
        <f>SUM(H39:H41)</f>
        <v>6980</v>
      </c>
      <c r="I42" s="53">
        <f>SUM(I39:I41)</f>
        <v>6369</v>
      </c>
      <c r="J42" s="106">
        <f t="shared" si="14"/>
        <v>13349</v>
      </c>
      <c r="K42" s="157">
        <f t="shared" si="0"/>
        <v>8.1854283167193453E-2</v>
      </c>
      <c r="L42" s="70"/>
      <c r="M42" s="70"/>
    </row>
    <row r="43" spans="1:13" ht="16.5" thickBot="1" x14ac:dyDescent="0.3">
      <c r="A43" s="78" t="s">
        <v>31</v>
      </c>
      <c r="B43" s="107">
        <f t="shared" ref="B43:G43" si="15">+B42+B37</f>
        <v>73504</v>
      </c>
      <c r="C43" s="46">
        <f t="shared" si="15"/>
        <v>74146</v>
      </c>
      <c r="D43" s="108">
        <f t="shared" si="15"/>
        <v>147650</v>
      </c>
      <c r="E43" s="107">
        <f t="shared" si="15"/>
        <v>71834</v>
      </c>
      <c r="F43" s="46">
        <f t="shared" si="15"/>
        <v>72040</v>
      </c>
      <c r="G43" s="145">
        <f t="shared" si="15"/>
        <v>143874</v>
      </c>
      <c r="H43" s="175"/>
      <c r="I43" s="150"/>
      <c r="J43" s="108">
        <f>+J42+J37</f>
        <v>129474</v>
      </c>
      <c r="K43" s="158">
        <f t="shared" si="0"/>
        <v>-0.10008757662955085</v>
      </c>
      <c r="L43" s="71"/>
      <c r="M43" s="70"/>
    </row>
    <row r="44" spans="1:13" ht="15.75" x14ac:dyDescent="0.25">
      <c r="A44" s="76"/>
      <c r="B44" s="109"/>
      <c r="C44" s="77"/>
      <c r="D44" s="110"/>
      <c r="E44" s="122"/>
      <c r="F44" s="77"/>
      <c r="G44" s="122"/>
      <c r="H44" s="109"/>
      <c r="I44" s="77"/>
      <c r="J44" s="110"/>
      <c r="K44" s="162" t="e">
        <f t="shared" si="0"/>
        <v>#DIV/0!</v>
      </c>
      <c r="L44" s="70"/>
      <c r="M44" s="70"/>
    </row>
    <row r="45" spans="1:13" x14ac:dyDescent="0.25">
      <c r="A45" s="42" t="s">
        <v>32</v>
      </c>
      <c r="B45" s="85">
        <v>399823</v>
      </c>
      <c r="C45" s="21">
        <v>372051</v>
      </c>
      <c r="D45" s="86">
        <f>+C45+B45</f>
        <v>771874</v>
      </c>
      <c r="E45" s="85">
        <v>400032</v>
      </c>
      <c r="F45" s="21">
        <v>372508</v>
      </c>
      <c r="G45" s="140">
        <f>+F45+E45</f>
        <v>772540</v>
      </c>
      <c r="H45" s="85">
        <v>156751</v>
      </c>
      <c r="I45" s="21">
        <v>149280</v>
      </c>
      <c r="J45" s="86">
        <f>+I45+H45</f>
        <v>306031</v>
      </c>
      <c r="K45" s="155">
        <f t="shared" si="0"/>
        <v>-0.60386387759857096</v>
      </c>
      <c r="L45" s="70"/>
      <c r="M45" s="70"/>
    </row>
    <row r="46" spans="1:13" x14ac:dyDescent="0.25">
      <c r="A46" s="47" t="s">
        <v>33</v>
      </c>
      <c r="B46" s="85">
        <v>106927</v>
      </c>
      <c r="C46" s="21">
        <v>114519</v>
      </c>
      <c r="D46" s="86">
        <f t="shared" ref="D46:D48" si="16">+C46+B46</f>
        <v>221446</v>
      </c>
      <c r="E46" s="22">
        <v>104087</v>
      </c>
      <c r="F46" s="21">
        <v>114412</v>
      </c>
      <c r="G46" s="140">
        <f t="shared" ref="G46:G48" si="17">+F46+E46</f>
        <v>218499</v>
      </c>
      <c r="H46" s="85">
        <v>14818</v>
      </c>
      <c r="I46" s="21">
        <v>16251</v>
      </c>
      <c r="J46" s="86">
        <f t="shared" ref="J46:J48" si="18">+I46+H46</f>
        <v>31069</v>
      </c>
      <c r="K46" s="155">
        <f t="shared" si="0"/>
        <v>-0.85780712955208038</v>
      </c>
      <c r="L46" s="70"/>
      <c r="M46" s="70"/>
    </row>
    <row r="47" spans="1:13" x14ac:dyDescent="0.25">
      <c r="A47" s="47" t="s">
        <v>34</v>
      </c>
      <c r="B47" s="85">
        <v>44855</v>
      </c>
      <c r="C47" s="21">
        <v>45977</v>
      </c>
      <c r="D47" s="86">
        <f t="shared" si="16"/>
        <v>90832</v>
      </c>
      <c r="E47" s="22">
        <v>47821</v>
      </c>
      <c r="F47" s="21">
        <v>50334</v>
      </c>
      <c r="G47" s="140">
        <f t="shared" si="17"/>
        <v>98155</v>
      </c>
      <c r="H47" s="85">
        <v>20863</v>
      </c>
      <c r="I47" s="21">
        <v>17597</v>
      </c>
      <c r="J47" s="86">
        <f t="shared" si="18"/>
        <v>38460</v>
      </c>
      <c r="K47" s="155">
        <f t="shared" si="0"/>
        <v>-0.60817075034384394</v>
      </c>
      <c r="L47" s="70"/>
      <c r="M47" s="70"/>
    </row>
    <row r="48" spans="1:13" x14ac:dyDescent="0.25">
      <c r="A48" s="47" t="s">
        <v>35</v>
      </c>
      <c r="B48" s="85">
        <v>0</v>
      </c>
      <c r="C48" s="21">
        <v>83</v>
      </c>
      <c r="D48" s="86">
        <f t="shared" si="16"/>
        <v>83</v>
      </c>
      <c r="E48" s="22">
        <v>74</v>
      </c>
      <c r="F48" s="21">
        <v>64</v>
      </c>
      <c r="G48" s="140">
        <f t="shared" si="17"/>
        <v>138</v>
      </c>
      <c r="H48" s="85">
        <v>0</v>
      </c>
      <c r="I48" s="21">
        <v>65</v>
      </c>
      <c r="J48" s="86">
        <f t="shared" si="18"/>
        <v>65</v>
      </c>
      <c r="K48" s="155">
        <f t="shared" si="0"/>
        <v>-0.52898550724637683</v>
      </c>
      <c r="L48" s="70"/>
      <c r="M48" s="70"/>
    </row>
    <row r="49" spans="1:14" x14ac:dyDescent="0.25">
      <c r="A49" s="48" t="s">
        <v>36</v>
      </c>
      <c r="B49" s="111">
        <f t="shared" ref="B49:F49" si="19">SUM(B45:B48)</f>
        <v>551605</v>
      </c>
      <c r="C49" s="49">
        <f t="shared" si="19"/>
        <v>532630</v>
      </c>
      <c r="D49" s="112">
        <f t="shared" si="19"/>
        <v>1084235</v>
      </c>
      <c r="E49" s="111">
        <f t="shared" si="19"/>
        <v>552014</v>
      </c>
      <c r="F49" s="49">
        <f t="shared" si="19"/>
        <v>537318</v>
      </c>
      <c r="G49" s="146">
        <f>SUM(G45:G48)</f>
        <v>1089332</v>
      </c>
      <c r="H49" s="176"/>
      <c r="I49" s="151"/>
      <c r="J49" s="112">
        <f>SUM(J45:J48)</f>
        <v>375625</v>
      </c>
      <c r="K49" s="156">
        <f t="shared" si="0"/>
        <v>-0.6551785865098978</v>
      </c>
      <c r="L49" s="70"/>
      <c r="M49" s="70"/>
    </row>
    <row r="50" spans="1:14" x14ac:dyDescent="0.25">
      <c r="A50" s="124" t="s">
        <v>37</v>
      </c>
      <c r="B50" s="125">
        <v>6225</v>
      </c>
      <c r="C50" s="126">
        <v>6629</v>
      </c>
      <c r="D50" s="127">
        <f>+C50+B50</f>
        <v>12854</v>
      </c>
      <c r="E50" s="125">
        <v>7273</v>
      </c>
      <c r="F50" s="126">
        <v>7973</v>
      </c>
      <c r="G50" s="133">
        <f>+F50+E50</f>
        <v>15246</v>
      </c>
      <c r="H50" s="125">
        <v>0</v>
      </c>
      <c r="I50" s="126">
        <v>0</v>
      </c>
      <c r="J50" s="127">
        <f>+I50+H50</f>
        <v>0</v>
      </c>
      <c r="K50" s="163">
        <f t="shared" si="0"/>
        <v>-1</v>
      </c>
      <c r="L50" s="70"/>
      <c r="M50" s="70"/>
    </row>
    <row r="51" spans="1:14" x14ac:dyDescent="0.25">
      <c r="A51" s="130" t="s">
        <v>47</v>
      </c>
      <c r="B51" s="125"/>
      <c r="C51" s="126"/>
      <c r="D51" s="127">
        <v>54177</v>
      </c>
      <c r="E51" s="135"/>
      <c r="F51" s="126"/>
      <c r="G51" s="133">
        <v>84863</v>
      </c>
      <c r="H51" s="125"/>
      <c r="I51" s="126"/>
      <c r="J51" s="127">
        <v>1364</v>
      </c>
      <c r="K51" s="163">
        <f t="shared" si="0"/>
        <v>-0.98392703533931158</v>
      </c>
      <c r="L51" s="70"/>
      <c r="M51" s="70"/>
    </row>
    <row r="52" spans="1:14" s="129" customFormat="1" ht="15.75" thickBot="1" x14ac:dyDescent="0.3">
      <c r="A52" s="131" t="s">
        <v>48</v>
      </c>
      <c r="B52" s="137">
        <f>+B50+B51</f>
        <v>6225</v>
      </c>
      <c r="C52" s="132">
        <f>+C51+C50</f>
        <v>6629</v>
      </c>
      <c r="D52" s="138">
        <f>+D51+D50</f>
        <v>67031</v>
      </c>
      <c r="E52" s="136">
        <f>+E51+E50</f>
        <v>7273</v>
      </c>
      <c r="F52" s="132">
        <f>+F51+F50</f>
        <v>7973</v>
      </c>
      <c r="G52" s="134">
        <f>+G51+G50</f>
        <v>100109</v>
      </c>
      <c r="H52" s="137"/>
      <c r="I52" s="132"/>
      <c r="J52" s="138">
        <f>+J51+J50</f>
        <v>1364</v>
      </c>
      <c r="K52" s="164">
        <f t="shared" si="0"/>
        <v>-0.98637485141196102</v>
      </c>
      <c r="L52" s="128"/>
      <c r="M52" s="128"/>
    </row>
    <row r="53" spans="1:14" ht="16.5" thickBot="1" x14ac:dyDescent="0.3">
      <c r="A53" s="50" t="s">
        <v>38</v>
      </c>
      <c r="B53" s="113"/>
      <c r="C53" s="51"/>
      <c r="D53" s="114">
        <f>+D52+D49</f>
        <v>1151266</v>
      </c>
      <c r="E53" s="123"/>
      <c r="F53" s="51"/>
      <c r="G53" s="58">
        <f>+G52+G49</f>
        <v>1189441</v>
      </c>
      <c r="H53" s="113"/>
      <c r="I53" s="51"/>
      <c r="J53" s="114">
        <f>+J52+J49</f>
        <v>376989</v>
      </c>
      <c r="K53" s="165">
        <f t="shared" si="0"/>
        <v>-0.68305363611982439</v>
      </c>
      <c r="L53" s="70"/>
      <c r="M53" s="70"/>
    </row>
    <row r="54" spans="1:14" x14ac:dyDescent="0.25">
      <c r="A54" s="79" t="s">
        <v>39</v>
      </c>
      <c r="B54" s="67">
        <v>1986</v>
      </c>
      <c r="C54" s="52">
        <v>1991</v>
      </c>
      <c r="D54" s="115">
        <f t="shared" ref="D54:D56" si="20">+C54+B54</f>
        <v>3977</v>
      </c>
      <c r="E54" s="68">
        <v>1909</v>
      </c>
      <c r="F54" s="52">
        <v>1910</v>
      </c>
      <c r="G54" s="68">
        <f>+F54+E54</f>
        <v>3819</v>
      </c>
      <c r="H54" s="67">
        <v>1505</v>
      </c>
      <c r="I54" s="52">
        <v>1506</v>
      </c>
      <c r="J54" s="115">
        <f>+I54+H54</f>
        <v>3011</v>
      </c>
      <c r="K54" s="162">
        <f t="shared" si="0"/>
        <v>-0.21157371039539147</v>
      </c>
      <c r="L54" s="70"/>
      <c r="M54" s="70"/>
    </row>
    <row r="55" spans="1:14" x14ac:dyDescent="0.25">
      <c r="A55" s="42" t="s">
        <v>41</v>
      </c>
      <c r="B55" s="85">
        <v>49106787</v>
      </c>
      <c r="C55" s="21">
        <v>49234423</v>
      </c>
      <c r="D55" s="86">
        <f t="shared" si="20"/>
        <v>98341210</v>
      </c>
      <c r="E55" s="22">
        <v>51010002</v>
      </c>
      <c r="F55" s="21">
        <v>51005598</v>
      </c>
      <c r="G55" s="68">
        <f t="shared" ref="G55:G56" si="21">+F55+E55</f>
        <v>102015600</v>
      </c>
      <c r="H55" s="67">
        <v>41891538</v>
      </c>
      <c r="I55" s="52">
        <v>41918277</v>
      </c>
      <c r="J55" s="115">
        <f t="shared" ref="J55:J56" si="22">+I55+H55</f>
        <v>83809815</v>
      </c>
      <c r="K55" s="155">
        <f t="shared" si="0"/>
        <v>-0.17846079423147049</v>
      </c>
      <c r="L55" s="70"/>
      <c r="M55" s="70"/>
    </row>
    <row r="56" spans="1:14" ht="15.75" thickBot="1" x14ac:dyDescent="0.3">
      <c r="A56" s="55" t="s">
        <v>40</v>
      </c>
      <c r="B56" s="116">
        <v>22146365</v>
      </c>
      <c r="C56" s="53">
        <v>22194631</v>
      </c>
      <c r="D56" s="117">
        <f t="shared" si="20"/>
        <v>44340996</v>
      </c>
      <c r="E56" s="69">
        <v>23168122</v>
      </c>
      <c r="F56" s="53">
        <v>23178944</v>
      </c>
      <c r="G56" s="147">
        <f t="shared" si="21"/>
        <v>46347066</v>
      </c>
      <c r="H56" s="116">
        <v>17753607</v>
      </c>
      <c r="I56" s="53">
        <v>17748500</v>
      </c>
      <c r="J56" s="117">
        <f t="shared" si="22"/>
        <v>35502107</v>
      </c>
      <c r="K56" s="166">
        <f t="shared" si="0"/>
        <v>-0.2339945100300416</v>
      </c>
      <c r="L56" s="70"/>
      <c r="M56" s="70"/>
    </row>
    <row r="57" spans="1:14" x14ac:dyDescent="0.25">
      <c r="K57" s="73"/>
      <c r="L57" s="70"/>
      <c r="M57" s="70"/>
    </row>
    <row r="58" spans="1:14" x14ac:dyDescent="0.25">
      <c r="D58" s="120"/>
      <c r="G58" s="120"/>
      <c r="H58" s="120"/>
      <c r="I58" s="120"/>
      <c r="J58" s="120"/>
      <c r="K58" s="73"/>
      <c r="L58" s="70"/>
      <c r="M58" s="70"/>
      <c r="N58" s="70"/>
    </row>
    <row r="59" spans="1:14" x14ac:dyDescent="0.25">
      <c r="D59" s="120"/>
      <c r="G59" s="120"/>
      <c r="H59" s="120"/>
      <c r="I59" s="120"/>
      <c r="J59" s="120"/>
      <c r="K59" s="73"/>
      <c r="L59" s="70"/>
      <c r="M59" s="70"/>
    </row>
    <row r="60" spans="1:14" x14ac:dyDescent="0.25">
      <c r="G60" s="120"/>
      <c r="H60" s="120"/>
      <c r="I60" s="120"/>
      <c r="J60" s="120"/>
      <c r="K60" s="121"/>
      <c r="L60" s="70"/>
      <c r="M60" s="70"/>
    </row>
    <row r="61" spans="1:14" x14ac:dyDescent="0.25">
      <c r="C61" s="120"/>
      <c r="D61" s="120"/>
      <c r="E61" s="120"/>
      <c r="F61" s="120"/>
      <c r="G61" s="120"/>
      <c r="H61" s="120"/>
      <c r="I61" s="120"/>
      <c r="J61" s="120"/>
      <c r="K61" s="121"/>
      <c r="L61" s="70"/>
      <c r="M61" s="70"/>
    </row>
    <row r="62" spans="1:14" x14ac:dyDescent="0.25">
      <c r="C62" s="120"/>
      <c r="D62" s="120"/>
      <c r="E62" s="120"/>
      <c r="F62" s="120"/>
      <c r="G62" s="120"/>
      <c r="H62" s="120"/>
      <c r="I62" s="120"/>
      <c r="J62" s="120"/>
      <c r="K62" s="121"/>
      <c r="L62" s="70"/>
      <c r="M62" s="70"/>
    </row>
    <row r="63" spans="1:14" x14ac:dyDescent="0.25">
      <c r="K63" s="121"/>
      <c r="L63" s="70"/>
      <c r="M63" s="70"/>
    </row>
    <row r="64" spans="1:14" x14ac:dyDescent="0.25">
      <c r="C64" s="120"/>
      <c r="D64" s="120"/>
      <c r="E64" s="120"/>
      <c r="F64" s="120"/>
      <c r="G64" s="120"/>
      <c r="H64" s="120"/>
      <c r="I64" s="120"/>
      <c r="J64" s="120"/>
      <c r="K64" s="121"/>
      <c r="L64" s="70"/>
      <c r="M64" s="70"/>
    </row>
    <row r="65" spans="11:11" x14ac:dyDescent="0.25">
      <c r="K65" s="54"/>
    </row>
    <row r="66" spans="11:11" x14ac:dyDescent="0.25">
      <c r="K66" s="54"/>
    </row>
    <row r="67" spans="11:11" x14ac:dyDescent="0.25">
      <c r="K67" s="54"/>
    </row>
    <row r="68" spans="11:11" x14ac:dyDescent="0.25">
      <c r="K68" s="54"/>
    </row>
    <row r="69" spans="11:11" x14ac:dyDescent="0.25">
      <c r="K69" s="54"/>
    </row>
    <row r="70" spans="11:11" x14ac:dyDescent="0.25">
      <c r="K70" s="54"/>
    </row>
    <row r="71" spans="11:11" x14ac:dyDescent="0.25">
      <c r="K71" s="54"/>
    </row>
    <row r="72" spans="11:11" x14ac:dyDescent="0.25">
      <c r="K72" s="54"/>
    </row>
    <row r="73" spans="11:11" x14ac:dyDescent="0.25">
      <c r="K73" s="54"/>
    </row>
    <row r="74" spans="11:11" x14ac:dyDescent="0.25">
      <c r="K74" s="54"/>
    </row>
    <row r="75" spans="11:11" x14ac:dyDescent="0.25">
      <c r="K75" s="54"/>
    </row>
    <row r="76" spans="11:11" x14ac:dyDescent="0.25">
      <c r="K76" s="54"/>
    </row>
    <row r="77" spans="11:11" x14ac:dyDescent="0.25">
      <c r="K77" s="54"/>
    </row>
    <row r="78" spans="11:11" x14ac:dyDescent="0.25">
      <c r="K78" s="54"/>
    </row>
    <row r="79" spans="11:11" x14ac:dyDescent="0.25">
      <c r="K79" s="54"/>
    </row>
    <row r="80" spans="11:11" x14ac:dyDescent="0.25">
      <c r="K80" s="54"/>
    </row>
    <row r="81" spans="11:11" x14ac:dyDescent="0.25">
      <c r="K81" s="54"/>
    </row>
    <row r="82" spans="11:11" x14ac:dyDescent="0.25">
      <c r="K82" s="54"/>
    </row>
    <row r="83" spans="11:11" x14ac:dyDescent="0.25">
      <c r="K83" s="54"/>
    </row>
    <row r="84" spans="11:11" x14ac:dyDescent="0.25">
      <c r="K84" s="54"/>
    </row>
    <row r="85" spans="11:11" x14ac:dyDescent="0.25">
      <c r="K85" s="54"/>
    </row>
    <row r="86" spans="11:11" x14ac:dyDescent="0.25">
      <c r="K86" s="54"/>
    </row>
    <row r="87" spans="11:11" x14ac:dyDescent="0.25">
      <c r="K87" s="54"/>
    </row>
    <row r="88" spans="11:11" x14ac:dyDescent="0.25">
      <c r="K88" s="54"/>
    </row>
    <row r="89" spans="11:11" x14ac:dyDescent="0.25">
      <c r="K89" s="54"/>
    </row>
    <row r="90" spans="11:11" x14ac:dyDescent="0.25">
      <c r="K90" s="54"/>
    </row>
    <row r="91" spans="11:11" x14ac:dyDescent="0.25">
      <c r="K91" s="54"/>
    </row>
    <row r="92" spans="11:11" x14ac:dyDescent="0.25">
      <c r="K92" s="54"/>
    </row>
    <row r="93" spans="11:11" x14ac:dyDescent="0.25">
      <c r="K93" s="54"/>
    </row>
    <row r="94" spans="11:11" x14ac:dyDescent="0.25">
      <c r="K94" s="54"/>
    </row>
    <row r="95" spans="11:11" x14ac:dyDescent="0.25">
      <c r="K95" s="54"/>
    </row>
    <row r="96" spans="11:11" x14ac:dyDescent="0.25">
      <c r="K96" s="54"/>
    </row>
    <row r="97" spans="11:11" x14ac:dyDescent="0.25">
      <c r="K97" s="54"/>
    </row>
    <row r="98" spans="11:11" x14ac:dyDescent="0.25">
      <c r="K98" s="54"/>
    </row>
    <row r="99" spans="11:11" x14ac:dyDescent="0.25">
      <c r="K99" s="54"/>
    </row>
    <row r="100" spans="11:11" x14ac:dyDescent="0.25">
      <c r="K100" s="54"/>
    </row>
    <row r="101" spans="11:11" x14ac:dyDescent="0.25">
      <c r="K101" s="54"/>
    </row>
    <row r="102" spans="11:11" x14ac:dyDescent="0.25">
      <c r="K102" s="54"/>
    </row>
    <row r="103" spans="11:11" x14ac:dyDescent="0.25">
      <c r="K103" s="54"/>
    </row>
  </sheetData>
  <mergeCells count="3">
    <mergeCell ref="B3:D3"/>
    <mergeCell ref="E3:G3"/>
    <mergeCell ref="H3:J3"/>
  </mergeCells>
  <pageMargins left="0.51181102362204722" right="0.51181102362204722" top="0.15748031496062992" bottom="0.15748031496062992" header="0.31496062992125984" footer="0.31496062992125984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cellerino</dc:creator>
  <cp:lastModifiedBy>Cellerino</cp:lastModifiedBy>
  <cp:lastPrinted>2020-11-27T09:33:58Z</cp:lastPrinted>
  <dcterms:created xsi:type="dcterms:W3CDTF">2015-03-02T13:45:33Z</dcterms:created>
  <dcterms:modified xsi:type="dcterms:W3CDTF">2021-01-28T07:18:23Z</dcterms:modified>
</cp:coreProperties>
</file>